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202300"/>
  <xr:revisionPtr revIDLastSave="0" documentId="8_{431DC723-9EFD-42E7-B3D4-17C431C04BC9}" xr6:coauthVersionLast="47" xr6:coauthVersionMax="47" xr10:uidLastSave="{00000000-0000-0000-0000-000000000000}"/>
  <bookViews>
    <workbookView xWindow="-120" yWindow="-120" windowWidth="29040" windowHeight="15720" xr2:uid="{FDAA5074-FB2C-40A4-A762-A32AA5C799D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20" i="1" l="1"/>
  <c r="AD20" i="1"/>
  <c r="AH7" i="1"/>
  <c r="AH15" i="1"/>
  <c r="AH16" i="1"/>
  <c r="AH14" i="1"/>
  <c r="AH13" i="1"/>
  <c r="AH11" i="1"/>
  <c r="AH10" i="1"/>
  <c r="AH9" i="1"/>
  <c r="AH8" i="1"/>
  <c r="AH6" i="1"/>
  <c r="AI6" i="1" s="1"/>
  <c r="AJ6" i="1" s="1"/>
  <c r="AK6" i="1" s="1"/>
  <c r="AD19" i="1"/>
  <c r="AD7" i="1"/>
  <c r="AD8" i="1"/>
  <c r="AD9" i="1"/>
  <c r="AD10" i="1"/>
  <c r="AD11" i="1"/>
  <c r="AD12" i="1"/>
  <c r="AD13" i="1"/>
  <c r="AD14" i="1"/>
  <c r="AD15" i="1"/>
  <c r="AD16" i="1"/>
  <c r="AD6" i="1"/>
  <c r="AA16" i="1"/>
  <c r="Z15" i="1"/>
  <c r="AA15" i="1" s="1"/>
  <c r="AA14" i="1"/>
  <c r="Z12" i="1"/>
  <c r="AA12" i="1" s="1"/>
  <c r="AA11" i="1"/>
  <c r="Z9" i="1"/>
  <c r="AA9" i="1" s="1"/>
  <c r="AA8" i="1"/>
  <c r="Z6" i="1"/>
  <c r="AA6" i="1" s="1"/>
  <c r="AB6" i="1" s="1"/>
  <c r="P7" i="1"/>
  <c r="P8" i="1" s="1"/>
  <c r="P9" i="1" s="1"/>
  <c r="P10" i="1" s="1"/>
  <c r="P11" i="1" s="1"/>
  <c r="P12" i="1" s="1"/>
  <c r="P13" i="1" s="1"/>
  <c r="P14" i="1" s="1"/>
  <c r="P15" i="1" s="1"/>
  <c r="P16" i="1" s="1"/>
  <c r="F5" i="1"/>
  <c r="H11" i="1" a="1"/>
  <c r="H11" i="1" s="1"/>
  <c r="F23" i="1" s="1"/>
  <c r="C56" i="1"/>
  <c r="M9" i="1"/>
  <c r="R8" i="1" s="1"/>
  <c r="T7" i="1"/>
  <c r="T8" i="1" s="1"/>
  <c r="T9" i="1" s="1"/>
  <c r="T10" i="1" s="1"/>
  <c r="T11" i="1" s="1"/>
  <c r="T12" i="1" s="1"/>
  <c r="T13" i="1" s="1"/>
  <c r="T14" i="1" s="1"/>
  <c r="T15" i="1" s="1"/>
  <c r="T16" i="1" s="1"/>
  <c r="H6" i="1" a="1"/>
  <c r="H6" i="1" s="1"/>
  <c r="E11" i="1" s="1"/>
  <c r="AI7" i="1" l="1"/>
  <c r="AJ7" i="1" s="1"/>
  <c r="AK7" i="1" s="1"/>
  <c r="AI8" i="1"/>
  <c r="AJ8" i="1" s="1"/>
  <c r="AK8" i="1" s="1"/>
  <c r="AH12" i="1"/>
  <c r="Z10" i="1"/>
  <c r="AA10" i="1" s="1"/>
  <c r="Z7" i="1"/>
  <c r="AA7" i="1" s="1"/>
  <c r="AC6" i="1"/>
  <c r="AB7" i="1"/>
  <c r="Z13" i="1"/>
  <c r="AA13" i="1" s="1"/>
  <c r="F57" i="1"/>
  <c r="R10" i="1"/>
  <c r="E30" i="1"/>
  <c r="E41" i="1"/>
  <c r="E29" i="1"/>
  <c r="E42" i="1"/>
  <c r="E28" i="1"/>
  <c r="E53" i="1"/>
  <c r="E52" i="1"/>
  <c r="E40" i="1"/>
  <c r="R15" i="1"/>
  <c r="R14" i="1"/>
  <c r="E18" i="1"/>
  <c r="R13" i="1"/>
  <c r="E56" i="1"/>
  <c r="E17" i="1"/>
  <c r="R12" i="1"/>
  <c r="U6" i="1"/>
  <c r="E16" i="1"/>
  <c r="R11" i="1"/>
  <c r="E54" i="1"/>
  <c r="E6" i="1"/>
  <c r="E47" i="1"/>
  <c r="E35" i="1"/>
  <c r="E23" i="1"/>
  <c r="F52" i="1"/>
  <c r="F40" i="1"/>
  <c r="F28" i="1"/>
  <c r="F16" i="1"/>
  <c r="R7" i="1"/>
  <c r="D56" i="1"/>
  <c r="E46" i="1"/>
  <c r="E34" i="1"/>
  <c r="E22" i="1"/>
  <c r="E10" i="1"/>
  <c r="F51" i="1"/>
  <c r="F39" i="1"/>
  <c r="F27" i="1"/>
  <c r="F15" i="1"/>
  <c r="F47" i="1"/>
  <c r="F33" i="1"/>
  <c r="E15" i="1"/>
  <c r="F32" i="1"/>
  <c r="E26" i="1"/>
  <c r="F43" i="1"/>
  <c r="E37" i="1"/>
  <c r="F42" i="1"/>
  <c r="R6" i="1"/>
  <c r="E5" i="1"/>
  <c r="E33" i="1"/>
  <c r="F50" i="1"/>
  <c r="F26" i="1"/>
  <c r="E44" i="1"/>
  <c r="E32" i="1"/>
  <c r="E20" i="1"/>
  <c r="E8" i="1"/>
  <c r="F49" i="1"/>
  <c r="F37" i="1"/>
  <c r="F25" i="1"/>
  <c r="F13" i="1"/>
  <c r="F45" i="1"/>
  <c r="E27" i="1"/>
  <c r="F8" i="1"/>
  <c r="E38" i="1"/>
  <c r="F55" i="1"/>
  <c r="E25" i="1"/>
  <c r="F54" i="1"/>
  <c r="F18" i="1"/>
  <c r="E45" i="1"/>
  <c r="E21" i="1"/>
  <c r="E9" i="1"/>
  <c r="F38" i="1"/>
  <c r="F14" i="1"/>
  <c r="R16" i="1"/>
  <c r="E55" i="1"/>
  <c r="E43" i="1"/>
  <c r="E31" i="1"/>
  <c r="E19" i="1"/>
  <c r="E7" i="1"/>
  <c r="F48" i="1"/>
  <c r="F36" i="1"/>
  <c r="F24" i="1"/>
  <c r="F12" i="1"/>
  <c r="F46" i="1"/>
  <c r="F34" i="1"/>
  <c r="F22" i="1"/>
  <c r="F10" i="1"/>
  <c r="F11" i="1"/>
  <c r="F21" i="1"/>
  <c r="E39" i="1"/>
  <c r="F44" i="1"/>
  <c r="F31" i="1"/>
  <c r="F35" i="1"/>
  <c r="F9" i="1"/>
  <c r="E51" i="1"/>
  <c r="F56" i="1"/>
  <c r="F20" i="1"/>
  <c r="E50" i="1"/>
  <c r="E14" i="1"/>
  <c r="F19" i="1"/>
  <c r="F7" i="1"/>
  <c r="E49" i="1"/>
  <c r="E13" i="1"/>
  <c r="F30" i="1"/>
  <c r="F6" i="1"/>
  <c r="R9" i="1"/>
  <c r="E48" i="1"/>
  <c r="E36" i="1"/>
  <c r="E24" i="1"/>
  <c r="E12" i="1"/>
  <c r="F53" i="1"/>
  <c r="F41" i="1"/>
  <c r="F29" i="1"/>
  <c r="F17" i="1"/>
  <c r="AI9" i="1" l="1"/>
  <c r="AJ9" i="1" s="1"/>
  <c r="AK9" i="1" s="1"/>
  <c r="AB8" i="1"/>
  <c r="AC7" i="1"/>
  <c r="U7" i="1"/>
  <c r="V6" i="1"/>
  <c r="W6" i="1"/>
  <c r="AI10" i="1" l="1"/>
  <c r="AI11" i="1" s="1"/>
  <c r="AJ10" i="1"/>
  <c r="AK10" i="1" s="1"/>
  <c r="AC8" i="1"/>
  <c r="AB9" i="1"/>
  <c r="U8" i="1"/>
  <c r="V7" i="1"/>
  <c r="W7" i="1" s="1"/>
  <c r="AJ11" i="1" l="1"/>
  <c r="AK11" i="1" s="1"/>
  <c r="AI12" i="1"/>
  <c r="AC9" i="1"/>
  <c r="AB10" i="1"/>
  <c r="U9" i="1"/>
  <c r="V8" i="1"/>
  <c r="W8" i="1" s="1"/>
  <c r="AJ12" i="1" l="1"/>
  <c r="AK12" i="1" s="1"/>
  <c r="AI13" i="1"/>
  <c r="AC10" i="1"/>
  <c r="AB11" i="1"/>
  <c r="U10" i="1"/>
  <c r="V9" i="1"/>
  <c r="W9" i="1" s="1"/>
  <c r="AJ13" i="1" l="1"/>
  <c r="AK13" i="1" s="1"/>
  <c r="AI14" i="1"/>
  <c r="AC11" i="1"/>
  <c r="AB12" i="1"/>
  <c r="U11" i="1"/>
  <c r="V10" i="1"/>
  <c r="W10" i="1" s="1"/>
  <c r="AJ14" i="1" l="1"/>
  <c r="AK14" i="1" s="1"/>
  <c r="AI15" i="1"/>
  <c r="AC12" i="1"/>
  <c r="AB13" i="1"/>
  <c r="U12" i="1"/>
  <c r="V11" i="1"/>
  <c r="W11" i="1" s="1"/>
  <c r="AJ15" i="1" l="1"/>
  <c r="AK15" i="1" s="1"/>
  <c r="AI16" i="1"/>
  <c r="AJ16" i="1" s="1"/>
  <c r="AK16" i="1" s="1"/>
  <c r="AK19" i="1" s="1"/>
  <c r="AC13" i="1"/>
  <c r="AB14" i="1"/>
  <c r="U13" i="1"/>
  <c r="V12" i="1"/>
  <c r="W12" i="1" s="1"/>
  <c r="AC14" i="1" l="1"/>
  <c r="AB15" i="1"/>
  <c r="U14" i="1"/>
  <c r="V13" i="1"/>
  <c r="W13" i="1" s="1"/>
  <c r="AC15" i="1" l="1"/>
  <c r="AB16" i="1"/>
  <c r="U15" i="1"/>
  <c r="V14" i="1"/>
  <c r="W14" i="1" s="1"/>
  <c r="AC16" i="1" l="1"/>
  <c r="U16" i="1"/>
  <c r="V15" i="1"/>
  <c r="W15" i="1" s="1"/>
  <c r="V16" i="1" l="1"/>
  <c r="W16" i="1" s="1"/>
  <c r="W1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<sst xmlns="http://schemas.openxmlformats.org/spreadsheetml/2006/main" count="48" uniqueCount="34">
  <si>
    <t>year</t>
  </si>
  <si>
    <t>Converter</t>
  </si>
  <si>
    <t xml:space="preserve">GDP Index </t>
  </si>
  <si>
    <t>https://apps.bea.gov/iTable/?reqid=19&amp;step=2&amp;isuri=1&amp;categories=survey#eyJhcHBpZCI6MTksInN0ZXBzIjpbMSwyLDMsM10sImRhdGEiOltbImNhdGVnb3JpZXMiLCJTdXJ2ZXkiXSxbIk5JUEFfVGFibGVfTGlzdCIsIjMiXSxbIkZpcnN0X1llYXIiLCIyMDEyIl0sWyJMYXN0X1llYXIiLCIyMDI0Il0sWyJTY2FsZSIsIjAiXSxbIlNlcmllcyIsIkEiXV19</t>
  </si>
  <si>
    <t>No new emissions</t>
  </si>
  <si>
    <t>a</t>
  </si>
  <si>
    <t>b</t>
  </si>
  <si>
    <t>c</t>
  </si>
  <si>
    <t>Quadratic Fit</t>
  </si>
  <si>
    <t>Linear Fit</t>
  </si>
  <si>
    <t>Linear Fit Parameters</t>
  </si>
  <si>
    <t>Quadradic Fit Parameters</t>
  </si>
  <si>
    <t>Price Inflator from BEA</t>
  </si>
  <si>
    <t>Year</t>
  </si>
  <si>
    <t>Future GDP (Billions)</t>
  </si>
  <si>
    <t>2012 $-year</t>
  </si>
  <si>
    <t>2024 $-year</t>
  </si>
  <si>
    <t>Calculating Future Emissions Damages</t>
  </si>
  <si>
    <t>Cum. Emissions (Gt CO2)</t>
  </si>
  <si>
    <t>Annual Damages (% GDP)</t>
  </si>
  <si>
    <t>Damages (Billions, 2024-$)</t>
  </si>
  <si>
    <t>2025-2035 Total</t>
  </si>
  <si>
    <t>US Power Sector Emissions (Gt CO2)</t>
  </si>
  <si>
    <t>Cumulative Emissions (Gt CO2)</t>
  </si>
  <si>
    <t>AEO 2025</t>
  </si>
  <si>
    <t>NREL Standard Scenarios (Mid Case No IRA, No 111d)</t>
  </si>
  <si>
    <t>Annual Emissions (MMT CO2)</t>
  </si>
  <si>
    <t>Annual Emissions (Gt CO2)</t>
  </si>
  <si>
    <t>Jenkins ZERO Lab, OBBBA Scenario</t>
  </si>
  <si>
    <t>Minus No Future Emissions</t>
  </si>
  <si>
    <t>`</t>
  </si>
  <si>
    <t>Source: EIA</t>
  </si>
  <si>
    <t>Source: Mankin</t>
  </si>
  <si>
    <t>Source: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</si>
</sst>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00000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color rgb="FF000000"/>
      <name val="Aptos Narrow"/>
      <family val="2"/>
      <scheme val="minor"/>
    </font>
    <font>
      <sz val="9"/>
      <color rgb="FF000000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26">
    <xf numFmtId="0" fontId="0" fillId="0" borderId="0" xfId="0"/>
    <xf numFmtId="1" fontId="0" fillId="0" borderId="0" xfId="0" applyNumberFormat="1"/>
    <xf numFmtId="44" fontId="0" fillId="0" borderId="0" xfId="0" applyNumberFormat="1"/>
    <xf numFmtId="3" fontId="0" fillId="0" borderId="0" xfId="0" applyNumberFormat="1"/>
    <xf numFmtId="3" fontId="3" fillId="0" borderId="0" xfId="0" applyNumberFormat="1" applyFont="1"/>
    <xf numFmtId="4" fontId="0" fillId="0" borderId="0" xfId="0" applyNumberFormat="1"/>
    <xf numFmtId="0" fontId="2" fillId="0" borderId="0" xfId="0" applyFont="1"/>
    <xf numFmtId="43" fontId="0" fillId="0" borderId="0" xfId="2" applyFont="1"/>
    <xf numFmtId="43" fontId="0" fillId="0" borderId="0" xfId="0" applyNumberFormat="1"/>
    <xf numFmtId="11" fontId="0" fillId="0" borderId="0" xfId="0" applyNumberFormat="1"/>
    <xf numFmtId="164" fontId="4" fillId="0" borderId="0" xfId="1" applyNumberFormat="1" applyFont="1"/>
    <xf numFmtId="0" fontId="5" fillId="0" borderId="0" xfId="3"/>
    <xf numFmtId="165" fontId="0" fillId="0" borderId="0" xfId="0" applyNumberFormat="1"/>
    <xf numFmtId="0" fontId="0" fillId="0" borderId="0" xfId="0" applyAlignment="1">
      <alignment horizontal="center"/>
    </xf>
    <xf numFmtId="44" fontId="0" fillId="0" borderId="0" xfId="0" applyNumberFormat="1" applyAlignment="1">
      <alignment horizontal="center"/>
    </xf>
    <xf numFmtId="44" fontId="2" fillId="0" borderId="0" xfId="0" applyNumberFormat="1" applyFont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165" fontId="2" fillId="0" borderId="0" xfId="0" applyNumberFormat="1" applyFont="1" applyAlignment="1">
      <alignment horizontal="center" vertical="center" wrapText="1"/>
    </xf>
    <xf numFmtId="11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0" xfId="3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2" borderId="0" xfId="0" applyFont="1" applyFill="1" applyAlignment="1">
      <alignment horizontal="right"/>
    </xf>
    <xf numFmtId="44" fontId="2" fillId="2" borderId="0" xfId="0" applyNumberFormat="1" applyFont="1" applyFill="1"/>
    <xf numFmtId="165" fontId="2" fillId="0" borderId="0" xfId="0" applyNumberFormat="1" applyFont="1" applyAlignment="1">
      <alignment horizontal="center" vertical="center"/>
    </xf>
  </cellXfs>
  <cellStyles count="4">
    <cellStyle name="Comma" xfId="2" builtinId="3"/>
    <cellStyle name="Currency" xfId="1" builtinId="4"/>
    <cellStyle name="Hyperlink" xfId="3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424767211528419"/>
          <c:y val="3.1372545496928098E-2"/>
          <c:w val="0.76818700383762861"/>
          <c:h val="0.82828303470652409"/>
        </c:manualLayout>
      </c:layout>
      <c:scatterChart>
        <c:scatterStyle val="lineMarker"/>
        <c:varyColors val="0"/>
        <c:ser>
          <c:idx val="0"/>
          <c:order val="0"/>
          <c:tx>
            <c:v>Historical Data</c:v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Sheet1!$C$5:$C$55</c:f>
              <c:numCache>
                <c:formatCode>0.000000</c:formatCode>
                <c:ptCount val="51"/>
                <c:pt idx="0">
                  <c:v>1.286189</c:v>
                </c:pt>
                <c:pt idx="1">
                  <c:v>2.5372430000000001</c:v>
                </c:pt>
                <c:pt idx="2">
                  <c:v>3.7821359999999999</c:v>
                </c:pt>
                <c:pt idx="3">
                  <c:v>5.1345850000000004</c:v>
                </c:pt>
                <c:pt idx="4">
                  <c:v>6.5773109999999999</c:v>
                </c:pt>
                <c:pt idx="5">
                  <c:v>8.0252269999999992</c:v>
                </c:pt>
                <c:pt idx="6">
                  <c:v>9.5342640000000003</c:v>
                </c:pt>
                <c:pt idx="7">
                  <c:v>11.085293999999999</c:v>
                </c:pt>
                <c:pt idx="8">
                  <c:v>12.645227999999999</c:v>
                </c:pt>
                <c:pt idx="9">
                  <c:v>14.135291</c:v>
                </c:pt>
                <c:pt idx="10">
                  <c:v>15.665603000000001</c:v>
                </c:pt>
                <c:pt idx="11">
                  <c:v>17.265314</c:v>
                </c:pt>
                <c:pt idx="12">
                  <c:v>18.896640999999999</c:v>
                </c:pt>
                <c:pt idx="13">
                  <c:v>20.521193</c:v>
                </c:pt>
                <c:pt idx="14">
                  <c:v>22.213550999999999</c:v>
                </c:pt>
                <c:pt idx="15">
                  <c:v>23.981468</c:v>
                </c:pt>
                <c:pt idx="16">
                  <c:v>25.817409999999999</c:v>
                </c:pt>
                <c:pt idx="17">
                  <c:v>27.643180000000001</c:v>
                </c:pt>
                <c:pt idx="18">
                  <c:v>29.467759000000001</c:v>
                </c:pt>
                <c:pt idx="19">
                  <c:v>31.306726999999999</c:v>
                </c:pt>
                <c:pt idx="20">
                  <c:v>33.221488000000001</c:v>
                </c:pt>
                <c:pt idx="21">
                  <c:v>35.161259999999999</c:v>
                </c:pt>
                <c:pt idx="22">
                  <c:v>37.118552999999999</c:v>
                </c:pt>
                <c:pt idx="23">
                  <c:v>39.148658999999903</c:v>
                </c:pt>
                <c:pt idx="24">
                  <c:v>41.246451999999998</c:v>
                </c:pt>
                <c:pt idx="25">
                  <c:v>43.43291</c:v>
                </c:pt>
                <c:pt idx="26">
                  <c:v>45.632454000000003</c:v>
                </c:pt>
                <c:pt idx="27">
                  <c:v>47.938507999999999</c:v>
                </c:pt>
                <c:pt idx="28">
                  <c:v>50.206825000000002</c:v>
                </c:pt>
                <c:pt idx="29">
                  <c:v>52.491630999999998</c:v>
                </c:pt>
                <c:pt idx="30">
                  <c:v>54.806928999999997</c:v>
                </c:pt>
                <c:pt idx="31">
                  <c:v>57.152873</c:v>
                </c:pt>
                <c:pt idx="32">
                  <c:v>59.564391999999998</c:v>
                </c:pt>
                <c:pt idx="33">
                  <c:v>61.920532999999999</c:v>
                </c:pt>
                <c:pt idx="34">
                  <c:v>64.342543000000006</c:v>
                </c:pt>
                <c:pt idx="35">
                  <c:v>66.713571999999999</c:v>
                </c:pt>
                <c:pt idx="36">
                  <c:v>68.870153999999999</c:v>
                </c:pt>
                <c:pt idx="37">
                  <c:v>71.140216999999893</c:v>
                </c:pt>
                <c:pt idx="38">
                  <c:v>73.309898999999902</c:v>
                </c:pt>
                <c:pt idx="39">
                  <c:v>75.344568999999893</c:v>
                </c:pt>
                <c:pt idx="40">
                  <c:v>77.393880999999993</c:v>
                </c:pt>
                <c:pt idx="41">
                  <c:v>79.442252999999994</c:v>
                </c:pt>
                <c:pt idx="42">
                  <c:v>81.354101</c:v>
                </c:pt>
                <c:pt idx="43">
                  <c:v>83.174096000000006</c:v>
                </c:pt>
                <c:pt idx="44">
                  <c:v>84.916702000000001</c:v>
                </c:pt>
                <c:pt idx="45">
                  <c:v>86.681236999999996</c:v>
                </c:pt>
                <c:pt idx="46">
                  <c:v>88.298796999999993</c:v>
                </c:pt>
                <c:pt idx="47">
                  <c:v>89.748992999999999</c:v>
                </c:pt>
                <c:pt idx="48">
                  <c:v>91.301542999999995</c:v>
                </c:pt>
                <c:pt idx="49">
                  <c:v>92.840061999999904</c:v>
                </c:pt>
                <c:pt idx="50">
                  <c:v>94.2610489999999</c:v>
                </c:pt>
              </c:numCache>
            </c:numRef>
          </c:xVal>
          <c:yVal>
            <c:numRef>
              <c:f>Sheet1!$D$5:$D$55</c:f>
              <c:numCache>
                <c:formatCode>General</c:formatCode>
                <c:ptCount val="51"/>
                <c:pt idx="0">
                  <c:v>0</c:v>
                </c:pt>
                <c:pt idx="1">
                  <c:v>1.1530466274389001E-4</c:v>
                </c:pt>
                <c:pt idx="2">
                  <c:v>2.80549114982526E-4</c:v>
                </c:pt>
                <c:pt idx="3">
                  <c:v>4.59638279342862E-4</c:v>
                </c:pt>
                <c:pt idx="4">
                  <c:v>6.67352157395904E-4</c:v>
                </c:pt>
                <c:pt idx="5">
                  <c:v>9.0243127851571904E-4</c:v>
                </c:pt>
                <c:pt idx="6">
                  <c:v>1.1600227266228801E-3</c:v>
                </c:pt>
                <c:pt idx="7">
                  <c:v>1.43278054110363E-3</c:v>
                </c:pt>
                <c:pt idx="8">
                  <c:v>1.7147331903819799E-3</c:v>
                </c:pt>
                <c:pt idx="9">
                  <c:v>2.0118228324361E-3</c:v>
                </c:pt>
                <c:pt idx="10">
                  <c:v>2.23921949460602E-3</c:v>
                </c:pt>
                <c:pt idx="11">
                  <c:v>2.4421399443839299E-3</c:v>
                </c:pt>
                <c:pt idx="12">
                  <c:v>2.7202407314705799E-3</c:v>
                </c:pt>
                <c:pt idx="13">
                  <c:v>3.0549454966595901E-3</c:v>
                </c:pt>
                <c:pt idx="14">
                  <c:v>3.4000260978843699E-3</c:v>
                </c:pt>
                <c:pt idx="15">
                  <c:v>3.7518572618295098E-3</c:v>
                </c:pt>
                <c:pt idx="16">
                  <c:v>4.1519916327167096E-3</c:v>
                </c:pt>
                <c:pt idx="17">
                  <c:v>4.5801277017154304E-3</c:v>
                </c:pt>
                <c:pt idx="18">
                  <c:v>5.0238453935875704E-3</c:v>
                </c:pt>
                <c:pt idx="19">
                  <c:v>5.2002277962965599E-3</c:v>
                </c:pt>
                <c:pt idx="20">
                  <c:v>5.1378602274188001E-3</c:v>
                </c:pt>
                <c:pt idx="21">
                  <c:v>5.5020515627228102E-3</c:v>
                </c:pt>
                <c:pt idx="22">
                  <c:v>6.0855146770900301E-3</c:v>
                </c:pt>
                <c:pt idx="23">
                  <c:v>6.7009830919507003E-3</c:v>
                </c:pt>
                <c:pt idx="24">
                  <c:v>7.2929360474335101E-3</c:v>
                </c:pt>
                <c:pt idx="25">
                  <c:v>7.7784897880065198E-3</c:v>
                </c:pt>
                <c:pt idx="26">
                  <c:v>8.3039340582421097E-3</c:v>
                </c:pt>
                <c:pt idx="27">
                  <c:v>8.9795592231937393E-3</c:v>
                </c:pt>
                <c:pt idx="28">
                  <c:v>9.6974292775788198E-3</c:v>
                </c:pt>
                <c:pt idx="29">
                  <c:v>1.03863089053887E-2</c:v>
                </c:pt>
                <c:pt idx="30">
                  <c:v>1.09162141963499E-2</c:v>
                </c:pt>
                <c:pt idx="31">
                  <c:v>1.13960985687072E-2</c:v>
                </c:pt>
                <c:pt idx="32">
                  <c:v>1.1936386865873699E-2</c:v>
                </c:pt>
                <c:pt idx="33">
                  <c:v>1.24518574489499E-2</c:v>
                </c:pt>
                <c:pt idx="34">
                  <c:v>1.29967315631257E-2</c:v>
                </c:pt>
                <c:pt idx="35">
                  <c:v>1.35521191117414E-2</c:v>
                </c:pt>
                <c:pt idx="36">
                  <c:v>1.42158741930428E-2</c:v>
                </c:pt>
                <c:pt idx="37">
                  <c:v>1.48744186331489E-2</c:v>
                </c:pt>
                <c:pt idx="38">
                  <c:v>1.5516898572483701E-2</c:v>
                </c:pt>
                <c:pt idx="39">
                  <c:v>1.6216497107252099E-2</c:v>
                </c:pt>
                <c:pt idx="40">
                  <c:v>1.6829748508041802E-2</c:v>
                </c:pt>
                <c:pt idx="41">
                  <c:v>1.76251727388856E-2</c:v>
                </c:pt>
                <c:pt idx="42">
                  <c:v>1.83253223971683E-2</c:v>
                </c:pt>
                <c:pt idx="43">
                  <c:v>1.8979671786738799E-2</c:v>
                </c:pt>
                <c:pt idx="44">
                  <c:v>1.9637503664102701E-2</c:v>
                </c:pt>
                <c:pt idx="45">
                  <c:v>2.0296853035334801E-2</c:v>
                </c:pt>
                <c:pt idx="46">
                  <c:v>2.0911648619478002E-2</c:v>
                </c:pt>
                <c:pt idx="47">
                  <c:v>2.13617216528348E-2</c:v>
                </c:pt>
                <c:pt idx="48">
                  <c:v>2.2028862860580999E-2</c:v>
                </c:pt>
                <c:pt idx="49">
                  <c:v>2.2660877568911001E-2</c:v>
                </c:pt>
                <c:pt idx="50">
                  <c:v>2.3382664560874001E-2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C41-4DFC-A830-FDBCA2559D55}"/>
            </c:ext>
          </c:extLst>
        </c:ser>
        <c:ser>
          <c:idx val="4"/>
          <c:order val="1"/>
          <c:tx>
            <c:v>Quadratic Fit and Extrapolation</c:v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Sheet1!$C$5:$C$57</c:f>
              <c:numCache>
                <c:formatCode>0.000000</c:formatCode>
                <c:ptCount val="53"/>
                <c:pt idx="0">
                  <c:v>1.286189</c:v>
                </c:pt>
                <c:pt idx="1">
                  <c:v>2.5372430000000001</c:v>
                </c:pt>
                <c:pt idx="2">
                  <c:v>3.7821359999999999</c:v>
                </c:pt>
                <c:pt idx="3">
                  <c:v>5.1345850000000004</c:v>
                </c:pt>
                <c:pt idx="4">
                  <c:v>6.5773109999999999</c:v>
                </c:pt>
                <c:pt idx="5">
                  <c:v>8.0252269999999992</c:v>
                </c:pt>
                <c:pt idx="6">
                  <c:v>9.5342640000000003</c:v>
                </c:pt>
                <c:pt idx="7">
                  <c:v>11.085293999999999</c:v>
                </c:pt>
                <c:pt idx="8">
                  <c:v>12.645227999999999</c:v>
                </c:pt>
                <c:pt idx="9">
                  <c:v>14.135291</c:v>
                </c:pt>
                <c:pt idx="10">
                  <c:v>15.665603000000001</c:v>
                </c:pt>
                <c:pt idx="11">
                  <c:v>17.265314</c:v>
                </c:pt>
                <c:pt idx="12">
                  <c:v>18.896640999999999</c:v>
                </c:pt>
                <c:pt idx="13">
                  <c:v>20.521193</c:v>
                </c:pt>
                <c:pt idx="14">
                  <c:v>22.213550999999999</c:v>
                </c:pt>
                <c:pt idx="15">
                  <c:v>23.981468</c:v>
                </c:pt>
                <c:pt idx="16">
                  <c:v>25.817409999999999</c:v>
                </c:pt>
                <c:pt idx="17">
                  <c:v>27.643180000000001</c:v>
                </c:pt>
                <c:pt idx="18">
                  <c:v>29.467759000000001</c:v>
                </c:pt>
                <c:pt idx="19">
                  <c:v>31.306726999999999</c:v>
                </c:pt>
                <c:pt idx="20">
                  <c:v>33.221488000000001</c:v>
                </c:pt>
                <c:pt idx="21">
                  <c:v>35.161259999999999</c:v>
                </c:pt>
                <c:pt idx="22">
                  <c:v>37.118552999999999</c:v>
                </c:pt>
                <c:pt idx="23">
                  <c:v>39.148658999999903</c:v>
                </c:pt>
                <c:pt idx="24">
                  <c:v>41.246451999999998</c:v>
                </c:pt>
                <c:pt idx="25">
                  <c:v>43.43291</c:v>
                </c:pt>
                <c:pt idx="26">
                  <c:v>45.632454000000003</c:v>
                </c:pt>
                <c:pt idx="27">
                  <c:v>47.938507999999999</c:v>
                </c:pt>
                <c:pt idx="28">
                  <c:v>50.206825000000002</c:v>
                </c:pt>
                <c:pt idx="29">
                  <c:v>52.491630999999998</c:v>
                </c:pt>
                <c:pt idx="30">
                  <c:v>54.806928999999997</c:v>
                </c:pt>
                <c:pt idx="31">
                  <c:v>57.152873</c:v>
                </c:pt>
                <c:pt idx="32">
                  <c:v>59.564391999999998</c:v>
                </c:pt>
                <c:pt idx="33">
                  <c:v>61.920532999999999</c:v>
                </c:pt>
                <c:pt idx="34">
                  <c:v>64.342543000000006</c:v>
                </c:pt>
                <c:pt idx="35">
                  <c:v>66.713571999999999</c:v>
                </c:pt>
                <c:pt idx="36">
                  <c:v>68.870153999999999</c:v>
                </c:pt>
                <c:pt idx="37">
                  <c:v>71.140216999999893</c:v>
                </c:pt>
                <c:pt idx="38">
                  <c:v>73.309898999999902</c:v>
                </c:pt>
                <c:pt idx="39">
                  <c:v>75.344568999999893</c:v>
                </c:pt>
                <c:pt idx="40">
                  <c:v>77.393880999999993</c:v>
                </c:pt>
                <c:pt idx="41">
                  <c:v>79.442252999999994</c:v>
                </c:pt>
                <c:pt idx="42">
                  <c:v>81.354101</c:v>
                </c:pt>
                <c:pt idx="43">
                  <c:v>83.174096000000006</c:v>
                </c:pt>
                <c:pt idx="44">
                  <c:v>84.916702000000001</c:v>
                </c:pt>
                <c:pt idx="45">
                  <c:v>86.681236999999996</c:v>
                </c:pt>
                <c:pt idx="46">
                  <c:v>88.298796999999993</c:v>
                </c:pt>
                <c:pt idx="47">
                  <c:v>89.748992999999999</c:v>
                </c:pt>
                <c:pt idx="48">
                  <c:v>91.301542999999995</c:v>
                </c:pt>
                <c:pt idx="49">
                  <c:v>92.840061999999904</c:v>
                </c:pt>
                <c:pt idx="50">
                  <c:v>94.2610489999999</c:v>
                </c:pt>
                <c:pt idx="51">
                  <c:v>95.690048999999902</c:v>
                </c:pt>
                <c:pt idx="52">
                  <c:v>110</c:v>
                </c:pt>
              </c:numCache>
            </c:numRef>
          </c:xVal>
          <c:yVal>
            <c:numRef>
              <c:f>Sheet1!$F$5:$F$57</c:f>
              <c:numCache>
                <c:formatCode>0.00E+00</c:formatCode>
                <c:ptCount val="53"/>
                <c:pt idx="0">
                  <c:v>5.4991988843366025E-5</c:v>
                </c:pt>
                <c:pt idx="1">
                  <c:v>2.1855706696869153E-4</c:v>
                </c:pt>
                <c:pt idx="2">
                  <c:v>3.8521892560335839E-4</c:v>
                </c:pt>
                <c:pt idx="3">
                  <c:v>5.7069165124644557E-4</c:v>
                </c:pt>
                <c:pt idx="4">
                  <c:v>7.7360940908665038E-4</c:v>
                </c:pt>
                <c:pt idx="5">
                  <c:v>9.8251353943725091E-4</c:v>
                </c:pt>
                <c:pt idx="6">
                  <c:v>1.2058401228988854E-3</c:v>
                </c:pt>
                <c:pt idx="7">
                  <c:v>1.4413421360045706E-3</c:v>
                </c:pt>
                <c:pt idx="8">
                  <c:v>1.6842907960710938E-3</c:v>
                </c:pt>
                <c:pt idx="9">
                  <c:v>1.9220651650379661E-3</c:v>
                </c:pt>
                <c:pt idx="10">
                  <c:v>2.1720670656531541E-3</c:v>
                </c:pt>
                <c:pt idx="11">
                  <c:v>2.4396948470065006E-3</c:v>
                </c:pt>
                <c:pt idx="12">
                  <c:v>2.7192315465480984E-3</c:v>
                </c:pt>
                <c:pt idx="13">
                  <c:v>3.004250141322759E-3</c:v>
                </c:pt>
                <c:pt idx="14">
                  <c:v>3.3082147253085084E-3</c:v>
                </c:pt>
                <c:pt idx="15">
                  <c:v>3.6334333411189934E-3</c:v>
                </c:pt>
                <c:pt idx="16">
                  <c:v>3.9794751087045416E-3</c:v>
                </c:pt>
                <c:pt idx="17">
                  <c:v>4.3319958120214483E-3</c:v>
                </c:pt>
                <c:pt idx="18">
                  <c:v>4.6926512146153211E-3</c:v>
                </c:pt>
                <c:pt idx="19">
                  <c:v>5.064611923768933E-3</c:v>
                </c:pt>
                <c:pt idx="20">
                  <c:v>5.4609296722865717E-3</c:v>
                </c:pt>
                <c:pt idx="21">
                  <c:v>5.8718143773649166E-3</c:v>
                </c:pt>
                <c:pt idx="22">
                  <c:v>6.2959899400490248E-3</c:v>
                </c:pt>
                <c:pt idx="23">
                  <c:v>6.7461114232762603E-3</c:v>
                </c:pt>
                <c:pt idx="24">
                  <c:v>7.2221160206886736E-3</c:v>
                </c:pt>
                <c:pt idx="25">
                  <c:v>7.7300036857330251E-3</c:v>
                </c:pt>
                <c:pt idx="26">
                  <c:v>8.2530468844370878E-3</c:v>
                </c:pt>
                <c:pt idx="27">
                  <c:v>8.8144666305892978E-3</c:v>
                </c:pt>
                <c:pt idx="28">
                  <c:v>9.379730381616453E-3</c:v>
                </c:pt>
                <c:pt idx="29">
                  <c:v>9.9621681985317366E-3</c:v>
                </c:pt>
                <c:pt idx="30">
                  <c:v>1.0565754952683243E-2</c:v>
                </c:pt>
                <c:pt idx="31">
                  <c:v>1.1191064126188192E-2</c:v>
                </c:pt>
                <c:pt idx="32">
                  <c:v>1.1848260703935234E-2</c:v>
                </c:pt>
                <c:pt idx="33">
                  <c:v>1.2504473200821728E-2</c:v>
                </c:pt>
                <c:pt idx="34">
                  <c:v>1.3193565035218537E-2</c:v>
                </c:pt>
                <c:pt idx="35">
                  <c:v>1.3882424608297202E-2</c:v>
                </c:pt>
                <c:pt idx="36">
                  <c:v>1.452124318923699E-2</c:v>
                </c:pt>
                <c:pt idx="37">
                  <c:v>1.5206297021777858E-2</c:v>
                </c:pt>
                <c:pt idx="38">
                  <c:v>1.5873155899759534E-2</c:v>
                </c:pt>
                <c:pt idx="39">
                  <c:v>1.6509261857286493E-2</c:v>
                </c:pt>
                <c:pt idx="40">
                  <c:v>1.7160456370157503E-2</c:v>
                </c:pt>
                <c:pt idx="41">
                  <c:v>1.7821893589724327E-2</c:v>
                </c:pt>
                <c:pt idx="42">
                  <c:v>1.8448754775039416E-2</c:v>
                </c:pt>
                <c:pt idx="43">
                  <c:v>1.9054028899223741E-2</c:v>
                </c:pt>
                <c:pt idx="44">
                  <c:v>1.9641362652679104E-2</c:v>
                </c:pt>
                <c:pt idx="45">
                  <c:v>2.0243859462773725E-2</c:v>
                </c:pt>
                <c:pt idx="46">
                  <c:v>2.0803042606794192E-2</c:v>
                </c:pt>
                <c:pt idx="47">
                  <c:v>2.1309956033409828E-2</c:v>
                </c:pt>
                <c:pt idx="48">
                  <c:v>2.1858501962337656E-2</c:v>
                </c:pt>
                <c:pt idx="49">
                  <c:v>2.2408063057738809E-2</c:v>
                </c:pt>
                <c:pt idx="50">
                  <c:v>2.2920923100404691E-2</c:v>
                </c:pt>
                <c:pt idx="51">
                  <c:v>2.3441789952091934E-2</c:v>
                </c:pt>
                <c:pt idx="52">
                  <c:v>2.8940586345937581E-2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C41-4DFC-A830-FDBCA2559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100431"/>
        <c:axId val="663100911"/>
      </c:scatterChart>
      <c:valAx>
        <c:axId val="6631004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400"/>
                  <a:t>Cumulative Emissions (BMT)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63100911"/>
        <c:crossesAt val="0"/>
        <c:crossBetween val="midCat"/>
      </c:valAx>
      <c:valAx>
        <c:axId val="663100911"/>
        <c:scaling>
          <c:orientation val="minMax"/>
          <c:max val="3.0000000000000006E-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400"/>
                  <a:t>Annual Damages (% GDP)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63100431"/>
        <c:crossesAt val="0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0790860391189972"/>
          <c:y val="6.4348751318792224E-2"/>
          <c:w val="0.46898608580612966"/>
          <c:h val="9.2692959120472818E-2"/>
        </c:manualLayout>
      </c:layout>
      <c:overlay val="0"/>
      <c:spPr>
        <a:solidFill>
          <a:schemeClr val="bg1"/>
        </a:solidFill>
        <a:ln>
          <a:solidFill>
            <a:schemeClr val="bg1">
              <a:lumMod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472179</xdr:colOff>
      <xdr:row>15</xdr:row>
      <xdr:rowOff>56030</xdr:rowOff>
    </xdr:from>
    <xdr:to>
      <xdr:col>15</xdr:col>
      <xdr:colOff>70038</xdr:colOff>
      <xdr:row>34</xdr:row>
      <xdr:rowOff>41901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276FDE4-ADBC-863D-E4D0-89EF37950A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pps.bea.gov/iTable/?reqid=19&amp;step=2&amp;isuri=1&amp;categories=surve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2726E-3DEC-4E83-BDFE-357C05BD5D76}">
  <dimension ref="A2:AK58"/>
  <sheetViews>
    <sheetView tabSelected="1" zoomScale="85" zoomScaleNormal="85" workbookViewId="0">
      <selection activeCell="L12" sqref="L12"/>
    </sheetView>
  </sheetViews>
  <sheetFormatPr defaultRowHeight="14.25" x14ac:dyDescent="0.45"/>
  <cols>
    <col min="2" max="2" width="21" style="12" customWidth="1"/>
    <col min="3" max="3" width="20.265625" style="12" customWidth="1"/>
    <col min="4" max="4" width="15.59765625" customWidth="1"/>
    <col min="5" max="5" width="15" style="9" customWidth="1"/>
    <col min="6" max="6" width="14.265625" style="9" customWidth="1"/>
    <col min="8" max="8" width="11.265625" customWidth="1"/>
    <col min="9" max="9" width="10.86328125" customWidth="1"/>
    <col min="12" max="12" width="11.86328125" customWidth="1"/>
    <col min="16" max="16" width="10.86328125" customWidth="1"/>
    <col min="17" max="17" width="12.265625" customWidth="1"/>
    <col min="18" max="18" width="11.1328125" customWidth="1"/>
    <col min="21" max="21" width="16.59765625" customWidth="1"/>
    <col min="22" max="22" width="15.265625" customWidth="1"/>
    <col min="23" max="23" width="16.1328125" customWidth="1"/>
    <col min="25" max="25" width="12.265625" bestFit="1" customWidth="1"/>
    <col min="26" max="27" width="16.3984375" customWidth="1"/>
    <col min="28" max="28" width="19" customWidth="1"/>
    <col min="29" max="29" width="15.73046875" customWidth="1"/>
    <col min="30" max="30" width="15.86328125" customWidth="1"/>
    <col min="33" max="34" width="16.3984375" customWidth="1"/>
    <col min="35" max="35" width="19" customWidth="1"/>
    <col min="36" max="36" width="15.73046875" customWidth="1"/>
    <col min="37" max="37" width="15.86328125" customWidth="1"/>
  </cols>
  <sheetData>
    <row r="2" spans="1:37" x14ac:dyDescent="0.45">
      <c r="U2" s="6" t="s">
        <v>17</v>
      </c>
    </row>
    <row r="3" spans="1:37" x14ac:dyDescent="0.45">
      <c r="B3" s="18" t="s">
        <v>31</v>
      </c>
      <c r="C3" s="25" t="s">
        <v>32</v>
      </c>
      <c r="D3" s="25"/>
      <c r="U3" s="17" t="s">
        <v>4</v>
      </c>
      <c r="V3" s="20"/>
      <c r="W3" s="20"/>
      <c r="Z3" s="6" t="s">
        <v>25</v>
      </c>
      <c r="AG3" s="6" t="s">
        <v>28</v>
      </c>
    </row>
    <row r="4" spans="1:37" s="20" customFormat="1" ht="34.5" customHeight="1" x14ac:dyDescent="0.45">
      <c r="A4" s="17" t="s">
        <v>0</v>
      </c>
      <c r="B4" s="18" t="s">
        <v>22</v>
      </c>
      <c r="C4" s="18" t="s">
        <v>23</v>
      </c>
      <c r="D4" s="17" t="s">
        <v>19</v>
      </c>
      <c r="E4" s="19" t="s">
        <v>9</v>
      </c>
      <c r="F4" s="19" t="s">
        <v>8</v>
      </c>
      <c r="H4" s="17" t="s">
        <v>10</v>
      </c>
      <c r="L4" s="17" t="s">
        <v>12</v>
      </c>
      <c r="O4" s="21"/>
      <c r="Q4" s="17" t="s">
        <v>14</v>
      </c>
      <c r="R4" s="17" t="s">
        <v>24</v>
      </c>
      <c r="U4" s="16" t="s">
        <v>18</v>
      </c>
      <c r="V4" s="16" t="s">
        <v>19</v>
      </c>
      <c r="W4" s="16" t="s">
        <v>20</v>
      </c>
      <c r="Z4" s="16" t="s">
        <v>26</v>
      </c>
      <c r="AA4" s="16" t="s">
        <v>27</v>
      </c>
      <c r="AB4" s="16" t="s">
        <v>23</v>
      </c>
      <c r="AC4" s="16" t="s">
        <v>19</v>
      </c>
      <c r="AD4" s="16" t="s">
        <v>20</v>
      </c>
      <c r="AG4" s="16" t="s">
        <v>26</v>
      </c>
      <c r="AH4" s="16" t="s">
        <v>27</v>
      </c>
      <c r="AI4" s="16" t="s">
        <v>23</v>
      </c>
      <c r="AJ4" s="16" t="s">
        <v>19</v>
      </c>
      <c r="AK4" s="16" t="s">
        <v>20</v>
      </c>
    </row>
    <row r="5" spans="1:37" x14ac:dyDescent="0.45">
      <c r="A5">
        <v>1973</v>
      </c>
      <c r="B5" s="12">
        <v>1.286189</v>
      </c>
      <c r="C5" s="12">
        <v>1.286189</v>
      </c>
      <c r="D5">
        <v>0</v>
      </c>
      <c r="E5" s="9">
        <f t="shared" ref="E5:E36" si="0">C5*$H$6+$I$6</f>
        <v>-1.5628077287691286E-3</v>
      </c>
      <c r="F5" s="9">
        <f t="shared" ref="F5:F36" si="1">(C5^2)*$H$11+C5*$I$11+$J$11</f>
        <v>5.4991988843366025E-5</v>
      </c>
      <c r="H5" s="6" t="s">
        <v>5</v>
      </c>
      <c r="I5" s="6" t="s">
        <v>6</v>
      </c>
      <c r="L5" t="s">
        <v>13</v>
      </c>
      <c r="M5" t="s">
        <v>2</v>
      </c>
      <c r="Q5" t="s">
        <v>15</v>
      </c>
      <c r="R5" t="s">
        <v>16</v>
      </c>
      <c r="Z5">
        <v>1470</v>
      </c>
      <c r="AA5" s="7"/>
      <c r="AB5" s="8"/>
      <c r="AH5" s="7"/>
      <c r="AI5" s="8"/>
    </row>
    <row r="6" spans="1:37" x14ac:dyDescent="0.45">
      <c r="A6">
        <v>1974</v>
      </c>
      <c r="B6" s="12">
        <v>1.2510540000000001</v>
      </c>
      <c r="C6" s="12">
        <v>2.5372430000000001</v>
      </c>
      <c r="D6">
        <v>1.1530466274389001E-4</v>
      </c>
      <c r="E6" s="9">
        <f t="shared" si="0"/>
        <v>-1.2558501322814074E-3</v>
      </c>
      <c r="F6" s="9">
        <f t="shared" si="1"/>
        <v>2.1855706696869153E-4</v>
      </c>
      <c r="H6" s="9" cm="1">
        <f t="array" ref="H6:I6">LINEST(D5:D55,C5:C55)</f>
        <v>2.4535919032089843E-4</v>
      </c>
      <c r="I6" s="9">
        <v>-1.8783860204087746E-3</v>
      </c>
      <c r="L6">
        <v>2012</v>
      </c>
      <c r="M6" s="5">
        <v>88.938999999999993</v>
      </c>
      <c r="P6" s="6">
        <v>2025</v>
      </c>
      <c r="Q6" s="10">
        <v>22170.908203125</v>
      </c>
      <c r="R6" s="10">
        <f t="shared" ref="R6:R16" si="2">Q6*$M$9</f>
        <v>29622.20197862967</v>
      </c>
      <c r="T6" s="6">
        <v>2025</v>
      </c>
      <c r="U6" s="13">
        <f>C56</f>
        <v>95.690048999999902</v>
      </c>
      <c r="V6" s="13">
        <f t="shared" ref="V6:V16" si="3">(U6^2)*$H$11+U6*$I$11+$J$11</f>
        <v>2.3441789952091934E-2</v>
      </c>
      <c r="W6" s="14">
        <f t="shared" ref="W6:W16" si="4">V6/100*$R6</f>
        <v>6.9439743670147882</v>
      </c>
      <c r="Z6">
        <f>(Z8-Z5)/3+Z5</f>
        <v>1430</v>
      </c>
      <c r="AA6" s="7">
        <f t="shared" ref="AA6:AA16" si="5">Z6/1000</f>
        <v>1.43</v>
      </c>
      <c r="AB6" s="8">
        <f>AA6+$C$56</f>
        <v>97.120048999999909</v>
      </c>
      <c r="AC6">
        <f t="shared" ref="AC6:AC16" si="6">(AB6^2)*$H$11+AB6*$I$11+$J$11</f>
        <v>2.3968155838766967E-2</v>
      </c>
      <c r="AD6" s="2">
        <f>AC6/100*$R6</f>
        <v>7.0998955331122717</v>
      </c>
      <c r="AG6" s="1">
        <v>1319.6204855000001</v>
      </c>
      <c r="AH6" s="7">
        <f t="shared" ref="AH6:AH16" si="7">AG6/1000</f>
        <v>1.3196204855</v>
      </c>
      <c r="AI6" s="8">
        <f>AH6+$C$56</f>
        <v>97.009669485499899</v>
      </c>
      <c r="AJ6">
        <f t="shared" ref="AJ6:AJ16" si="8">(AI6^2)*$H$11+AI6*$I$11+$J$11</f>
        <v>2.3927343528857829E-2</v>
      </c>
      <c r="AK6" s="2">
        <f>AJ6/100*$R6</f>
        <v>7.087806028238842</v>
      </c>
    </row>
    <row r="7" spans="1:37" x14ac:dyDescent="0.45">
      <c r="A7">
        <v>1975</v>
      </c>
      <c r="B7" s="12">
        <v>1.244893</v>
      </c>
      <c r="C7" s="12">
        <v>3.7821359999999999</v>
      </c>
      <c r="D7">
        <v>2.80549114982526E-4</v>
      </c>
      <c r="E7" s="9">
        <f t="shared" si="0"/>
        <v>-9.5040419376525315E-4</v>
      </c>
      <c r="F7" s="9">
        <f t="shared" si="1"/>
        <v>3.8521892560335839E-4</v>
      </c>
      <c r="L7">
        <v>2024</v>
      </c>
      <c r="M7" s="3">
        <v>118.83</v>
      </c>
      <c r="P7" s="6">
        <f>P6+1</f>
        <v>2026</v>
      </c>
      <c r="Q7" s="10">
        <v>22685.740234375</v>
      </c>
      <c r="R7" s="10">
        <f t="shared" si="2"/>
        <v>30310.060963703007</v>
      </c>
      <c r="T7" s="6">
        <f>T6+1</f>
        <v>2026</v>
      </c>
      <c r="U7" s="13">
        <f t="shared" ref="U7:U16" si="9">U6</f>
        <v>95.690048999999902</v>
      </c>
      <c r="V7" s="13">
        <f t="shared" si="3"/>
        <v>2.3441789952091934E-2</v>
      </c>
      <c r="W7" s="14">
        <f t="shared" si="4"/>
        <v>7.1052208254622711</v>
      </c>
      <c r="Z7">
        <f>(Z8-Z5)/3+Z6</f>
        <v>1390</v>
      </c>
      <c r="AA7" s="7">
        <f t="shared" si="5"/>
        <v>1.39</v>
      </c>
      <c r="AB7" s="8">
        <f t="shared" ref="AB7:AB16" si="10">AA7+AB6</f>
        <v>98.51004899999991</v>
      </c>
      <c r="AC7">
        <f t="shared" si="6"/>
        <v>2.4484721036525003E-2</v>
      </c>
      <c r="AD7" s="2">
        <f t="shared" ref="AD7:AD16" si="11">AC7/100*$R7</f>
        <v>7.4213338729633431</v>
      </c>
      <c r="AG7" s="1">
        <v>1319.6204855000001</v>
      </c>
      <c r="AH7" s="7">
        <f t="shared" si="7"/>
        <v>1.3196204855</v>
      </c>
      <c r="AI7" s="8">
        <f t="shared" ref="AI7:AI16" si="12">AH7+AI6</f>
        <v>98.329289970999895</v>
      </c>
      <c r="AJ7">
        <f t="shared" si="8"/>
        <v>2.4417271110209252E-2</v>
      </c>
      <c r="AK7" s="2">
        <f t="shared" ref="AK7:AK16" si="13">AJ7/100*$R7</f>
        <v>7.4008897591770673</v>
      </c>
    </row>
    <row r="8" spans="1:37" x14ac:dyDescent="0.45">
      <c r="A8">
        <v>1976</v>
      </c>
      <c r="B8" s="12">
        <v>1.352449</v>
      </c>
      <c r="C8" s="12">
        <v>5.1345850000000004</v>
      </c>
      <c r="D8">
        <v>4.59638279342862E-4</v>
      </c>
      <c r="E8" s="9">
        <f t="shared" si="0"/>
        <v>-6.1856840217494428E-4</v>
      </c>
      <c r="F8" s="9">
        <f t="shared" si="1"/>
        <v>5.7069165124644557E-4</v>
      </c>
      <c r="P8" s="6">
        <f t="shared" ref="P8:P16" si="14">P7+1</f>
        <v>2027</v>
      </c>
      <c r="Q8" s="10">
        <v>23161.296875</v>
      </c>
      <c r="R8" s="10">
        <f t="shared" si="2"/>
        <v>30945.444716673792</v>
      </c>
      <c r="T8" s="6">
        <f t="shared" ref="T8:T14" si="15">T7+1</f>
        <v>2027</v>
      </c>
      <c r="U8" s="13">
        <f t="shared" si="9"/>
        <v>95.690048999999902</v>
      </c>
      <c r="V8" s="13">
        <f t="shared" si="3"/>
        <v>2.3441789952091934E-2</v>
      </c>
      <c r="W8" s="14">
        <f t="shared" si="4"/>
        <v>7.2541661502234014</v>
      </c>
      <c r="Z8">
        <v>1350</v>
      </c>
      <c r="AA8" s="7">
        <f t="shared" si="5"/>
        <v>1.35</v>
      </c>
      <c r="AB8" s="8">
        <f t="shared" si="10"/>
        <v>99.860048999999904</v>
      </c>
      <c r="AC8">
        <f t="shared" si="6"/>
        <v>2.4991066580907443E-2</v>
      </c>
      <c r="AD8" s="2">
        <f t="shared" si="11"/>
        <v>7.7335966929018518</v>
      </c>
      <c r="AG8" s="1">
        <v>1307.8697839666668</v>
      </c>
      <c r="AH8" s="7">
        <f t="shared" si="7"/>
        <v>1.3078697839666669</v>
      </c>
      <c r="AI8" s="8">
        <f t="shared" si="12"/>
        <v>99.637159754966561</v>
      </c>
      <c r="AJ8">
        <f t="shared" si="8"/>
        <v>2.4907151833904916E-2</v>
      </c>
      <c r="AK8" s="2">
        <f t="shared" si="13"/>
        <v>7.7076289012590484</v>
      </c>
    </row>
    <row r="9" spans="1:37" x14ac:dyDescent="0.45">
      <c r="A9">
        <v>1977</v>
      </c>
      <c r="B9" s="12">
        <v>1.442726</v>
      </c>
      <c r="C9" s="12">
        <v>6.5773109999999999</v>
      </c>
      <c r="D9">
        <v>6.67352157395904E-4</v>
      </c>
      <c r="E9" s="9">
        <f t="shared" si="0"/>
        <v>-2.6458231896003587E-4</v>
      </c>
      <c r="F9" s="9">
        <f t="shared" si="1"/>
        <v>7.7360940908665038E-4</v>
      </c>
      <c r="H9" s="6" t="s">
        <v>11</v>
      </c>
      <c r="L9" t="s">
        <v>1</v>
      </c>
      <c r="M9">
        <f>M7/M6</f>
        <v>1.3360842824857488</v>
      </c>
      <c r="P9" s="6">
        <f t="shared" si="14"/>
        <v>2028</v>
      </c>
      <c r="Q9" s="10">
        <v>23587.921875</v>
      </c>
      <c r="R9" s="10">
        <f t="shared" si="2"/>
        <v>31515.451673689273</v>
      </c>
      <c r="T9" s="6">
        <f t="shared" si="15"/>
        <v>2028</v>
      </c>
      <c r="U9" s="13">
        <f t="shared" si="9"/>
        <v>95.690048999999902</v>
      </c>
      <c r="V9" s="13">
        <f t="shared" si="3"/>
        <v>2.3441789952091934E-2</v>
      </c>
      <c r="W9" s="14">
        <f t="shared" si="4"/>
        <v>7.3877859837992812</v>
      </c>
      <c r="Z9" s="1">
        <f>(Z11-Z8)/3+Z8</f>
        <v>1323.3333333333333</v>
      </c>
      <c r="AA9" s="7">
        <f t="shared" si="5"/>
        <v>1.3233333333333333</v>
      </c>
      <c r="AB9" s="8">
        <f t="shared" si="10"/>
        <v>101.18338233333324</v>
      </c>
      <c r="AC9">
        <f t="shared" si="6"/>
        <v>2.5491853209277503E-2</v>
      </c>
      <c r="AD9" s="2">
        <f t="shared" si="11"/>
        <v>8.0338726788976604</v>
      </c>
      <c r="AG9" s="1">
        <v>1296.1190824333335</v>
      </c>
      <c r="AH9" s="7">
        <f t="shared" si="7"/>
        <v>1.2961190824333335</v>
      </c>
      <c r="AI9" s="8">
        <f t="shared" si="12"/>
        <v>100.9332788373999</v>
      </c>
      <c r="AJ9">
        <f t="shared" si="8"/>
        <v>2.5396869894043047E-2</v>
      </c>
      <c r="AK9" s="2">
        <f t="shared" si="13"/>
        <v>8.0039382580868761</v>
      </c>
    </row>
    <row r="10" spans="1:37" x14ac:dyDescent="0.45">
      <c r="A10">
        <v>1978</v>
      </c>
      <c r="B10" s="12">
        <v>1.447916</v>
      </c>
      <c r="C10" s="12">
        <v>8.0252269999999992</v>
      </c>
      <c r="D10">
        <v>9.0243127851571904E-4</v>
      </c>
      <c r="E10" s="9">
        <f t="shared" si="0"/>
        <v>9.0677178452638028E-5</v>
      </c>
      <c r="F10" s="9">
        <f t="shared" si="1"/>
        <v>9.8251353943725091E-4</v>
      </c>
      <c r="H10" s="6" t="s">
        <v>5</v>
      </c>
      <c r="I10" s="6" t="s">
        <v>6</v>
      </c>
      <c r="J10" s="6" t="s">
        <v>7</v>
      </c>
      <c r="P10" s="6">
        <f t="shared" si="14"/>
        <v>2029</v>
      </c>
      <c r="Q10" s="10">
        <v>24043.40234375</v>
      </c>
      <c r="R10" s="10">
        <f t="shared" si="2"/>
        <v>32124.011968965391</v>
      </c>
      <c r="T10" s="6">
        <f t="shared" si="15"/>
        <v>2029</v>
      </c>
      <c r="U10" s="13">
        <f t="shared" si="9"/>
        <v>95.690048999999902</v>
      </c>
      <c r="V10" s="13">
        <f t="shared" si="3"/>
        <v>2.3441789952091934E-2</v>
      </c>
      <c r="W10" s="14">
        <f t="shared" si="4"/>
        <v>7.530443409949739</v>
      </c>
      <c r="Z10" s="1">
        <f>(Z11-Z8)/3+Z9</f>
        <v>1296.6666666666665</v>
      </c>
      <c r="AA10" s="7">
        <f t="shared" si="5"/>
        <v>1.2966666666666664</v>
      </c>
      <c r="AB10" s="8">
        <f t="shared" si="10"/>
        <v>102.48004899999991</v>
      </c>
      <c r="AC10">
        <f t="shared" si="6"/>
        <v>2.5986815008141886E-2</v>
      </c>
      <c r="AD10" s="2">
        <f t="shared" si="11"/>
        <v>8.3480075635683946</v>
      </c>
      <c r="AG10" s="1">
        <v>1284.3683809000001</v>
      </c>
      <c r="AH10" s="7">
        <f t="shared" si="7"/>
        <v>1.2843683809000002</v>
      </c>
      <c r="AI10" s="8">
        <f t="shared" si="12"/>
        <v>102.2176472182999</v>
      </c>
      <c r="AJ10">
        <f t="shared" si="8"/>
        <v>2.5886310525192881E-2</v>
      </c>
      <c r="AK10" s="2">
        <f t="shared" si="13"/>
        <v>8.3157214914365092</v>
      </c>
    </row>
    <row r="11" spans="1:37" x14ac:dyDescent="0.45">
      <c r="A11">
        <v>1979</v>
      </c>
      <c r="B11" s="12">
        <v>1.509037</v>
      </c>
      <c r="C11" s="12">
        <v>9.5342640000000003</v>
      </c>
      <c r="D11">
        <v>1.1600227266228801E-3</v>
      </c>
      <c r="E11" s="9">
        <f t="shared" si="0"/>
        <v>4.6093327493691586E-4</v>
      </c>
      <c r="F11" s="9">
        <f t="shared" si="1"/>
        <v>1.2058401228988854E-3</v>
      </c>
      <c r="H11" s="9" cm="1">
        <f t="array" ref="H11:J11">LINEST(D5:D55,C5:C55^{1,2})</f>
        <v>1.2558886648811826E-6</v>
      </c>
      <c r="I11" s="9">
        <v>1.2594001608705189E-4</v>
      </c>
      <c r="J11" s="9">
        <v>-1.0906826870043769E-4</v>
      </c>
      <c r="L11" t="s">
        <v>33</v>
      </c>
      <c r="M11" s="11" t="s">
        <v>3</v>
      </c>
      <c r="P11" s="6">
        <f t="shared" si="14"/>
        <v>2030</v>
      </c>
      <c r="Q11" s="10">
        <v>24481.4296875</v>
      </c>
      <c r="R11" s="10">
        <f t="shared" si="2"/>
        <v>32709.253418248747</v>
      </c>
      <c r="T11" s="6">
        <f t="shared" si="15"/>
        <v>2030</v>
      </c>
      <c r="U11" s="13">
        <f t="shared" si="9"/>
        <v>95.690048999999902</v>
      </c>
      <c r="V11" s="13">
        <f t="shared" si="3"/>
        <v>2.3441789952091934E-2</v>
      </c>
      <c r="W11" s="14">
        <f t="shared" si="4"/>
        <v>7.6676344812033221</v>
      </c>
      <c r="Z11">
        <v>1270</v>
      </c>
      <c r="AA11" s="7">
        <f t="shared" si="5"/>
        <v>1.27</v>
      </c>
      <c r="AB11" s="8">
        <f t="shared" si="10"/>
        <v>103.7500489999999</v>
      </c>
      <c r="AC11">
        <f t="shared" si="6"/>
        <v>2.6475691422465569E-2</v>
      </c>
      <c r="AD11" s="2">
        <f t="shared" si="11"/>
        <v>8.6600010016078084</v>
      </c>
      <c r="AG11" s="1">
        <v>1305.8532624000002</v>
      </c>
      <c r="AH11" s="7">
        <f t="shared" si="7"/>
        <v>1.3058532624000001</v>
      </c>
      <c r="AI11" s="8">
        <f t="shared" si="12"/>
        <v>103.52350048069991</v>
      </c>
      <c r="AJ11">
        <f t="shared" si="8"/>
        <v>2.6388186486570538E-2</v>
      </c>
      <c r="AK11" s="2">
        <f t="shared" si="13"/>
        <v>8.6313787903724286</v>
      </c>
    </row>
    <row r="12" spans="1:37" x14ac:dyDescent="0.45">
      <c r="A12">
        <v>1980</v>
      </c>
      <c r="B12" s="12">
        <v>1.5510299999999999</v>
      </c>
      <c r="C12" s="12">
        <v>11.085293999999999</v>
      </c>
      <c r="D12">
        <v>1.43278054110363E-3</v>
      </c>
      <c r="E12" s="9">
        <f t="shared" si="0"/>
        <v>8.4149273990033859E-4</v>
      </c>
      <c r="F12" s="9">
        <f t="shared" si="1"/>
        <v>1.4413421360045706E-3</v>
      </c>
      <c r="P12" s="6">
        <f t="shared" si="14"/>
        <v>2031</v>
      </c>
      <c r="Q12" s="10">
        <v>24878.095703125</v>
      </c>
      <c r="R12" s="10">
        <f t="shared" si="2"/>
        <v>33239.232647121557</v>
      </c>
      <c r="T12" s="6">
        <f t="shared" si="15"/>
        <v>2031</v>
      </c>
      <c r="U12" s="13">
        <f t="shared" si="9"/>
        <v>95.690048999999902</v>
      </c>
      <c r="V12" s="13">
        <f t="shared" si="3"/>
        <v>2.3441789952091934E-2</v>
      </c>
      <c r="W12" s="14">
        <f t="shared" si="4"/>
        <v>7.7918710988254025</v>
      </c>
      <c r="Z12">
        <f>(Z14-Z11)/3+Z11</f>
        <v>1250</v>
      </c>
      <c r="AA12" s="7">
        <f t="shared" si="5"/>
        <v>1.25</v>
      </c>
      <c r="AB12" s="8">
        <f t="shared" si="10"/>
        <v>105.0000489999999</v>
      </c>
      <c r="AC12">
        <f t="shared" si="6"/>
        <v>2.6960825044913178E-2</v>
      </c>
      <c r="AD12" s="2">
        <f t="shared" si="11"/>
        <v>8.9615713602621057</v>
      </c>
      <c r="AG12" s="1">
        <v>1327.3381439000002</v>
      </c>
      <c r="AH12" s="7">
        <f t="shared" si="7"/>
        <v>1.3273381439000003</v>
      </c>
      <c r="AI12" s="8">
        <f t="shared" si="12"/>
        <v>104.8508386245999</v>
      </c>
      <c r="AJ12">
        <f t="shared" si="8"/>
        <v>2.6902709190223428E-2</v>
      </c>
      <c r="AK12" s="2">
        <f t="shared" si="13"/>
        <v>8.9422540961169172</v>
      </c>
    </row>
    <row r="13" spans="1:37" x14ac:dyDescent="0.45">
      <c r="A13">
        <v>1981</v>
      </c>
      <c r="B13" s="12">
        <v>1.5599339999999999</v>
      </c>
      <c r="C13" s="12">
        <v>12.645227999999999</v>
      </c>
      <c r="D13">
        <v>1.7147331903819799E-3</v>
      </c>
      <c r="E13" s="9">
        <f t="shared" si="0"/>
        <v>1.2242368830943789E-3</v>
      </c>
      <c r="F13" s="9">
        <f t="shared" si="1"/>
        <v>1.6842907960710938E-3</v>
      </c>
      <c r="P13" s="6">
        <f t="shared" si="14"/>
        <v>2032</v>
      </c>
      <c r="Q13" s="10">
        <v>25301.4609375</v>
      </c>
      <c r="R13" s="10">
        <f t="shared" si="2"/>
        <v>33804.884282520892</v>
      </c>
      <c r="T13" s="6">
        <f t="shared" si="15"/>
        <v>2032</v>
      </c>
      <c r="U13" s="13">
        <f t="shared" si="9"/>
        <v>95.690048999999902</v>
      </c>
      <c r="V13" s="13">
        <f t="shared" si="3"/>
        <v>2.3441789952091934E-2</v>
      </c>
      <c r="W13" s="14">
        <f t="shared" si="4"/>
        <v>7.9244699670562877</v>
      </c>
      <c r="Z13">
        <f>(Z14-Z11)/3+Z12</f>
        <v>1230</v>
      </c>
      <c r="AA13" s="7">
        <f t="shared" si="5"/>
        <v>1.23</v>
      </c>
      <c r="AB13" s="8">
        <f t="shared" si="10"/>
        <v>106.23004899999991</v>
      </c>
      <c r="AC13">
        <f t="shared" si="6"/>
        <v>2.7442027492184985E-2</v>
      </c>
      <c r="AD13" s="2">
        <f t="shared" si="11"/>
        <v>9.2767456385107057</v>
      </c>
      <c r="AG13" s="1">
        <v>1348.8230254</v>
      </c>
      <c r="AH13" s="7">
        <f t="shared" si="7"/>
        <v>1.3488230254</v>
      </c>
      <c r="AI13" s="8">
        <f t="shared" si="12"/>
        <v>106.1996616499999</v>
      </c>
      <c r="AJ13">
        <f t="shared" si="8"/>
        <v>2.743009352650921E-2</v>
      </c>
      <c r="AK13" s="2">
        <f t="shared" si="13"/>
        <v>9.2727113752236932</v>
      </c>
    </row>
    <row r="14" spans="1:37" x14ac:dyDescent="0.45">
      <c r="A14">
        <v>1982</v>
      </c>
      <c r="B14" s="12">
        <v>1.4900629999999999</v>
      </c>
      <c r="C14" s="12">
        <v>14.135291</v>
      </c>
      <c r="D14">
        <v>2.0118228324361E-3</v>
      </c>
      <c r="E14" s="9">
        <f t="shared" si="0"/>
        <v>1.5898375343015082E-3</v>
      </c>
      <c r="F14" s="9">
        <f t="shared" si="1"/>
        <v>1.9220651650379661E-3</v>
      </c>
      <c r="P14" s="6">
        <f t="shared" si="14"/>
        <v>2033</v>
      </c>
      <c r="Q14" s="10">
        <v>25738.427734375</v>
      </c>
      <c r="R14" s="10">
        <f t="shared" si="2"/>
        <v>34388.708751793718</v>
      </c>
      <c r="T14" s="6">
        <f t="shared" si="15"/>
        <v>2033</v>
      </c>
      <c r="U14" s="13">
        <f t="shared" si="9"/>
        <v>95.690048999999902</v>
      </c>
      <c r="V14" s="13">
        <f t="shared" si="3"/>
        <v>2.3441789952091934E-2</v>
      </c>
      <c r="W14" s="14">
        <f t="shared" si="4"/>
        <v>8.0613288728321386</v>
      </c>
      <c r="Z14">
        <v>1210</v>
      </c>
      <c r="AA14" s="7">
        <f t="shared" si="5"/>
        <v>1.21</v>
      </c>
      <c r="AB14" s="8">
        <f t="shared" si="10"/>
        <v>107.4400489999999</v>
      </c>
      <c r="AC14">
        <f t="shared" si="6"/>
        <v>2.7919113395114034E-2</v>
      </c>
      <c r="AD14" s="2">
        <f t="shared" si="11"/>
        <v>9.6010225915287926</v>
      </c>
      <c r="AG14" s="1">
        <v>1339.1696558666667</v>
      </c>
      <c r="AH14" s="7">
        <f t="shared" si="7"/>
        <v>1.3391696558666668</v>
      </c>
      <c r="AI14" s="8">
        <f t="shared" si="12"/>
        <v>107.53883130586657</v>
      </c>
      <c r="AJ14">
        <f t="shared" si="8"/>
        <v>2.7958224229522839E-2</v>
      </c>
      <c r="AK14" s="2">
        <f t="shared" si="13"/>
        <v>9.6144723024640317</v>
      </c>
    </row>
    <row r="15" spans="1:37" x14ac:dyDescent="0.45">
      <c r="A15">
        <v>1983</v>
      </c>
      <c r="B15" s="12">
        <v>1.5303119999999999</v>
      </c>
      <c r="C15" s="12">
        <v>15.665603000000001</v>
      </c>
      <c r="D15">
        <v>2.23921949460602E-3</v>
      </c>
      <c r="E15" s="9">
        <f t="shared" si="0"/>
        <v>1.9653136475598627E-3</v>
      </c>
      <c r="F15" s="9">
        <f t="shared" si="1"/>
        <v>2.1720670656531541E-3</v>
      </c>
      <c r="P15" s="6">
        <f t="shared" si="14"/>
        <v>2034</v>
      </c>
      <c r="Q15" s="10">
        <v>26176.421875</v>
      </c>
      <c r="R15" s="10">
        <f t="shared" si="2"/>
        <v>34973.905838903636</v>
      </c>
      <c r="T15" s="6">
        <f t="shared" ref="T15:T16" si="16">T14+1</f>
        <v>2034</v>
      </c>
      <c r="U15" s="13">
        <f t="shared" si="9"/>
        <v>95.690048999999902</v>
      </c>
      <c r="V15" s="13">
        <f t="shared" si="3"/>
        <v>2.3441789952091934E-2</v>
      </c>
      <c r="W15" s="14">
        <f t="shared" si="4"/>
        <v>8.1985095447982062</v>
      </c>
      <c r="Z15">
        <f>AVERAGE(Z14,Z16)</f>
        <v>1175</v>
      </c>
      <c r="AA15" s="7">
        <f t="shared" si="5"/>
        <v>1.175</v>
      </c>
      <c r="AB15" s="8">
        <f t="shared" si="10"/>
        <v>108.6150489999999</v>
      </c>
      <c r="AC15">
        <f t="shared" si="6"/>
        <v>2.838591876358371E-2</v>
      </c>
      <c r="AD15" s="2">
        <f t="shared" si="11"/>
        <v>9.9276644998834467</v>
      </c>
      <c r="AG15" s="1">
        <v>1329.5162863333335</v>
      </c>
      <c r="AH15" s="7">
        <f t="shared" si="7"/>
        <v>1.3295162863333334</v>
      </c>
      <c r="AI15" s="8">
        <f t="shared" si="12"/>
        <v>108.8683475921999</v>
      </c>
      <c r="AJ15">
        <f t="shared" si="8"/>
        <v>2.8487003886263362E-2</v>
      </c>
      <c r="AK15" s="2">
        <f t="shared" si="13"/>
        <v>9.9630179155065672</v>
      </c>
    </row>
    <row r="16" spans="1:37" x14ac:dyDescent="0.45">
      <c r="A16">
        <v>1984</v>
      </c>
      <c r="B16" s="12">
        <v>1.5997110000000001</v>
      </c>
      <c r="C16" s="12">
        <v>17.265314</v>
      </c>
      <c r="D16">
        <v>2.4421399443839299E-3</v>
      </c>
      <c r="E16" s="9">
        <f t="shared" si="0"/>
        <v>2.3578174432672978E-3</v>
      </c>
      <c r="F16" s="9">
        <f t="shared" si="1"/>
        <v>2.4396948470065006E-3</v>
      </c>
      <c r="P16" s="6">
        <f t="shared" si="14"/>
        <v>2035</v>
      </c>
      <c r="Q16" s="10">
        <v>26631.546875</v>
      </c>
      <c r="R16" s="10">
        <f t="shared" si="2"/>
        <v>35581.991197969961</v>
      </c>
      <c r="T16" s="6">
        <f t="shared" si="16"/>
        <v>2035</v>
      </c>
      <c r="U16" s="13">
        <f t="shared" si="9"/>
        <v>95.690048999999902</v>
      </c>
      <c r="V16" s="13">
        <f t="shared" si="3"/>
        <v>2.3441789952091934E-2</v>
      </c>
      <c r="W16" s="14">
        <f t="shared" si="4"/>
        <v>8.3410556373999594</v>
      </c>
      <c r="Z16">
        <v>1140</v>
      </c>
      <c r="AA16" s="7">
        <f t="shared" si="5"/>
        <v>1.1399999999999999</v>
      </c>
      <c r="AB16" s="8">
        <f t="shared" si="10"/>
        <v>109.7550489999999</v>
      </c>
      <c r="AC16">
        <f t="shared" si="6"/>
        <v>2.884213370706595E-2</v>
      </c>
      <c r="AD16" s="2">
        <f t="shared" si="11"/>
        <v>10.262605476954933</v>
      </c>
      <c r="AG16" s="1">
        <v>1319.8629168</v>
      </c>
      <c r="AH16" s="7">
        <f t="shared" si="7"/>
        <v>1.3198629168</v>
      </c>
      <c r="AI16" s="8">
        <f t="shared" si="12"/>
        <v>110.1882105089999</v>
      </c>
      <c r="AJ16">
        <f t="shared" si="8"/>
        <v>2.901633578592892E-2</v>
      </c>
      <c r="AK16" s="2">
        <f t="shared" si="13"/>
        <v>10.324590045322637</v>
      </c>
    </row>
    <row r="17" spans="1:37" x14ac:dyDescent="0.45">
      <c r="A17">
        <v>1985</v>
      </c>
      <c r="B17" s="12">
        <v>1.631327</v>
      </c>
      <c r="C17" s="12">
        <v>18.896640999999999</v>
      </c>
      <c r="D17">
        <v>2.7202407314705799E-3</v>
      </c>
      <c r="E17" s="9">
        <f t="shared" si="0"/>
        <v>2.7580785151359172E-3</v>
      </c>
      <c r="F17" s="9">
        <f t="shared" si="1"/>
        <v>2.7192315465480984E-3</v>
      </c>
      <c r="P17" s="6"/>
    </row>
    <row r="18" spans="1:37" x14ac:dyDescent="0.45">
      <c r="A18">
        <v>1986</v>
      </c>
      <c r="B18" s="12">
        <v>1.624552</v>
      </c>
      <c r="C18" s="12">
        <v>20.521193</v>
      </c>
      <c r="D18">
        <v>3.0549454966595901E-3</v>
      </c>
      <c r="E18" s="9">
        <f t="shared" si="0"/>
        <v>3.1566772784901139E-3</v>
      </c>
      <c r="F18" s="9">
        <f t="shared" si="1"/>
        <v>3.004250141322759E-3</v>
      </c>
    </row>
    <row r="19" spans="1:37" x14ac:dyDescent="0.45">
      <c r="A19">
        <v>1987</v>
      </c>
      <c r="B19" s="12">
        <v>1.692358</v>
      </c>
      <c r="C19" s="12">
        <v>22.213550999999999</v>
      </c>
      <c r="D19">
        <v>3.4000260978843699E-3</v>
      </c>
      <c r="E19" s="9">
        <f t="shared" si="0"/>
        <v>3.5719128671032087E-3</v>
      </c>
      <c r="F19" s="9">
        <f t="shared" si="1"/>
        <v>3.3082147253085084E-3</v>
      </c>
      <c r="V19" s="6" t="s">
        <v>21</v>
      </c>
      <c r="W19" s="15">
        <f>SUM(W6:W16)</f>
        <v>84.206460338564796</v>
      </c>
      <c r="AC19" s="22" t="s">
        <v>21</v>
      </c>
      <c r="AD19" s="2">
        <f>SUM(AD6:AD16)</f>
        <v>95.326316910191309</v>
      </c>
      <c r="AJ19" s="22" t="s">
        <v>21</v>
      </c>
      <c r="AK19" s="2">
        <f>SUM(AK6:AK16)</f>
        <v>95.26440896320463</v>
      </c>
    </row>
    <row r="20" spans="1:37" x14ac:dyDescent="0.45">
      <c r="A20">
        <v>1988</v>
      </c>
      <c r="B20" s="12">
        <v>1.767917</v>
      </c>
      <c r="C20" s="12">
        <v>23.981468</v>
      </c>
      <c r="D20">
        <v>3.7518572618295098E-3</v>
      </c>
      <c r="E20" s="9">
        <f t="shared" si="0"/>
        <v>4.0056875507777602E-3</v>
      </c>
      <c r="F20" s="9">
        <f t="shared" si="1"/>
        <v>3.6334333411189934E-3</v>
      </c>
      <c r="AC20" s="23" t="s">
        <v>29</v>
      </c>
      <c r="AD20" s="24">
        <f>AD19-$W$19</f>
        <v>11.119856571626514</v>
      </c>
      <c r="AJ20" s="23" t="s">
        <v>29</v>
      </c>
      <c r="AK20" s="24">
        <f>AK19-$W$19</f>
        <v>11.057948624639835</v>
      </c>
    </row>
    <row r="21" spans="1:37" x14ac:dyDescent="0.45">
      <c r="A21">
        <v>1989</v>
      </c>
      <c r="B21" s="12">
        <v>1.835942</v>
      </c>
      <c r="C21" s="12">
        <v>25.817409999999999</v>
      </c>
      <c r="D21">
        <v>4.1519916327167096E-3</v>
      </c>
      <c r="E21" s="9">
        <f t="shared" si="0"/>
        <v>4.4561527933738914E-3</v>
      </c>
      <c r="F21" s="9">
        <f t="shared" si="1"/>
        <v>3.9794751087045416E-3</v>
      </c>
    </row>
    <row r="22" spans="1:37" x14ac:dyDescent="0.45">
      <c r="A22">
        <v>1990</v>
      </c>
      <c r="B22" s="12">
        <v>1.8257699999999999</v>
      </c>
      <c r="C22" s="12">
        <v>27.643180000000001</v>
      </c>
      <c r="D22">
        <v>4.5801277017154304E-3</v>
      </c>
      <c r="E22" s="9">
        <f t="shared" si="0"/>
        <v>4.9041222422860787E-3</v>
      </c>
      <c r="F22" s="9">
        <f t="shared" si="1"/>
        <v>4.3319958120214483E-3</v>
      </c>
    </row>
    <row r="23" spans="1:37" x14ac:dyDescent="0.45">
      <c r="A23">
        <v>1991</v>
      </c>
      <c r="B23" s="12">
        <v>1.824579</v>
      </c>
      <c r="C23" s="12">
        <v>29.467759000000001</v>
      </c>
      <c r="D23">
        <v>5.0238453935875704E-3</v>
      </c>
      <c r="E23" s="9">
        <f t="shared" si="0"/>
        <v>5.3517994684025927E-3</v>
      </c>
      <c r="F23" s="9">
        <f t="shared" si="1"/>
        <v>4.6926512146153211E-3</v>
      </c>
    </row>
    <row r="24" spans="1:37" x14ac:dyDescent="0.45">
      <c r="A24">
        <v>1992</v>
      </c>
      <c r="B24" s="12">
        <v>1.8389679999999999</v>
      </c>
      <c r="C24" s="12">
        <v>31.306726999999999</v>
      </c>
      <c r="D24">
        <v>5.2002277962965599E-3</v>
      </c>
      <c r="E24" s="9">
        <f t="shared" si="0"/>
        <v>5.8030071679086347E-3</v>
      </c>
      <c r="F24" s="9">
        <f t="shared" si="1"/>
        <v>5.064611923768933E-3</v>
      </c>
    </row>
    <row r="25" spans="1:37" x14ac:dyDescent="0.45">
      <c r="A25">
        <v>1993</v>
      </c>
      <c r="B25" s="12">
        <v>1.9147609999999999</v>
      </c>
      <c r="C25" s="12">
        <v>33.221488000000001</v>
      </c>
      <c r="D25">
        <v>5.1378602274188001E-3</v>
      </c>
      <c r="E25" s="9">
        <f t="shared" si="0"/>
        <v>6.2728113765266689E-3</v>
      </c>
      <c r="F25" s="9">
        <f t="shared" si="1"/>
        <v>5.4609296722865717E-3</v>
      </c>
    </row>
    <row r="26" spans="1:37" x14ac:dyDescent="0.45">
      <c r="A26">
        <v>1994</v>
      </c>
      <c r="B26" s="12">
        <v>1.9397719999999901</v>
      </c>
      <c r="C26" s="12">
        <v>35.161259999999999</v>
      </c>
      <c r="D26">
        <v>5.5020515627228102E-3</v>
      </c>
      <c r="E26" s="9">
        <f t="shared" si="0"/>
        <v>6.7487522638538175E-3</v>
      </c>
      <c r="F26" s="9">
        <f t="shared" si="1"/>
        <v>5.8718143773649166E-3</v>
      </c>
    </row>
    <row r="27" spans="1:37" x14ac:dyDescent="0.45">
      <c r="A27">
        <v>1995</v>
      </c>
      <c r="B27" s="12">
        <v>1.9572929999999999</v>
      </c>
      <c r="C27" s="12">
        <v>37.118552999999999</v>
      </c>
      <c r="D27">
        <v>6.0855146770900301E-3</v>
      </c>
      <c r="E27" s="9">
        <f t="shared" si="0"/>
        <v>7.2289920895545808E-3</v>
      </c>
      <c r="F27" s="9">
        <f t="shared" si="1"/>
        <v>6.2959899400490248E-3</v>
      </c>
    </row>
    <row r="28" spans="1:37" x14ac:dyDescent="0.45">
      <c r="A28">
        <v>1996</v>
      </c>
      <c r="B28" s="12">
        <v>2.030106</v>
      </c>
      <c r="C28" s="12">
        <v>39.148658999999903</v>
      </c>
      <c r="D28">
        <v>6.7009830919507003E-3</v>
      </c>
      <c r="E28" s="9">
        <f t="shared" si="0"/>
        <v>7.7270972539801551E-3</v>
      </c>
      <c r="F28" s="9">
        <f t="shared" si="1"/>
        <v>6.7461114232762603E-3</v>
      </c>
    </row>
    <row r="29" spans="1:37" x14ac:dyDescent="0.45">
      <c r="A29">
        <v>1997</v>
      </c>
      <c r="B29" s="12">
        <v>2.0977929999999998</v>
      </c>
      <c r="C29" s="12">
        <v>41.246451999999998</v>
      </c>
      <c r="D29">
        <v>7.2929360474335101E-3</v>
      </c>
      <c r="E29" s="9">
        <f t="shared" si="0"/>
        <v>8.2418100459210261E-3</v>
      </c>
      <c r="F29" s="9">
        <f t="shared" si="1"/>
        <v>7.2221160206886736E-3</v>
      </c>
      <c r="AG29" t="s">
        <v>30</v>
      </c>
    </row>
    <row r="30" spans="1:37" x14ac:dyDescent="0.45">
      <c r="A30">
        <v>1998</v>
      </c>
      <c r="B30" s="12">
        <v>2.186458</v>
      </c>
      <c r="C30" s="12">
        <v>43.43291</v>
      </c>
      <c r="D30">
        <v>7.7784897880065198E-3</v>
      </c>
      <c r="E30" s="9">
        <f t="shared" si="0"/>
        <v>8.7782776104716777E-3</v>
      </c>
      <c r="F30" s="9">
        <f t="shared" si="1"/>
        <v>7.7300036857330251E-3</v>
      </c>
    </row>
    <row r="31" spans="1:37" x14ac:dyDescent="0.45">
      <c r="A31">
        <v>1999</v>
      </c>
      <c r="B31" s="12">
        <v>2.1995439999999999</v>
      </c>
      <c r="C31" s="12">
        <v>45.632454000000003</v>
      </c>
      <c r="D31">
        <v>8.3039340582421097E-3</v>
      </c>
      <c r="E31" s="9">
        <f t="shared" si="0"/>
        <v>9.3179559453868688E-3</v>
      </c>
      <c r="F31" s="9">
        <f t="shared" si="1"/>
        <v>8.2530468844370878E-3</v>
      </c>
    </row>
    <row r="32" spans="1:37" x14ac:dyDescent="0.45">
      <c r="A32">
        <v>2000</v>
      </c>
      <c r="B32" s="12">
        <v>2.306054</v>
      </c>
      <c r="C32" s="12">
        <v>47.938507999999999</v>
      </c>
      <c r="D32">
        <v>8.9795592231937393E-3</v>
      </c>
      <c r="E32" s="9">
        <f t="shared" si="0"/>
        <v>9.8837674876631372E-3</v>
      </c>
      <c r="F32" s="9">
        <f t="shared" si="1"/>
        <v>8.8144666305892978E-3</v>
      </c>
    </row>
    <row r="33" spans="1:6" x14ac:dyDescent="0.45">
      <c r="A33">
        <v>2001</v>
      </c>
      <c r="B33" s="12">
        <v>2.2683170000000001</v>
      </c>
      <c r="C33" s="12">
        <v>50.206825000000002</v>
      </c>
      <c r="D33">
        <v>9.6974292775788198E-3</v>
      </c>
      <c r="E33" s="9">
        <f t="shared" si="0"/>
        <v>1.0440319910174268E-2</v>
      </c>
      <c r="F33" s="9">
        <f t="shared" si="1"/>
        <v>9.379730381616453E-3</v>
      </c>
    </row>
    <row r="34" spans="1:6" x14ac:dyDescent="0.45">
      <c r="A34">
        <v>2002</v>
      </c>
      <c r="B34" s="12">
        <v>2.2848060000000001</v>
      </c>
      <c r="C34" s="12">
        <v>52.491630999999998</v>
      </c>
      <c r="D34">
        <v>1.03863089053887E-2</v>
      </c>
      <c r="E34" s="9">
        <f t="shared" si="0"/>
        <v>1.1000918060374596E-2</v>
      </c>
      <c r="F34" s="9">
        <f t="shared" si="1"/>
        <v>9.9621681985317366E-3</v>
      </c>
    </row>
    <row r="35" spans="1:6" x14ac:dyDescent="0.45">
      <c r="A35">
        <v>2003</v>
      </c>
      <c r="B35" s="12">
        <v>2.3152979999999999</v>
      </c>
      <c r="C35" s="12">
        <v>54.806928999999997</v>
      </c>
      <c r="D35">
        <v>1.09162141963499E-2</v>
      </c>
      <c r="E35" s="9">
        <f t="shared" si="0"/>
        <v>1.1568997703006192E-2</v>
      </c>
      <c r="F35" s="9">
        <f t="shared" si="1"/>
        <v>1.0565754952683243E-2</v>
      </c>
    </row>
    <row r="36" spans="1:6" x14ac:dyDescent="0.45">
      <c r="A36">
        <v>2004</v>
      </c>
      <c r="B36" s="12">
        <v>2.3459439999999998</v>
      </c>
      <c r="C36" s="12">
        <v>57.152873</v>
      </c>
      <c r="D36">
        <v>1.13960985687072E-2</v>
      </c>
      <c r="E36" s="9">
        <f t="shared" si="0"/>
        <v>1.2144596623384362E-2</v>
      </c>
      <c r="F36" s="9">
        <f t="shared" si="1"/>
        <v>1.1191064126188192E-2</v>
      </c>
    </row>
    <row r="37" spans="1:6" x14ac:dyDescent="0.45">
      <c r="A37">
        <v>2005</v>
      </c>
      <c r="B37" s="12">
        <v>2.41151899999999</v>
      </c>
      <c r="C37" s="12">
        <v>59.564391999999998</v>
      </c>
      <c r="D37">
        <v>1.1936386865873699E-2</v>
      </c>
      <c r="E37" s="9">
        <f t="shared" ref="E37:E56" si="17">C37*$H$6+$I$6</f>
        <v>1.2736284972667825E-2</v>
      </c>
      <c r="F37" s="9">
        <f t="shared" ref="F37:F57" si="18">(C37^2)*$H$11+C37*$I$11+$J$11</f>
        <v>1.1848260703935234E-2</v>
      </c>
    </row>
    <row r="38" spans="1:6" x14ac:dyDescent="0.45">
      <c r="A38">
        <v>2006</v>
      </c>
      <c r="B38" s="12">
        <v>2.356141</v>
      </c>
      <c r="C38" s="12">
        <v>61.920532999999999</v>
      </c>
      <c r="D38">
        <v>1.24518574489499E-2</v>
      </c>
      <c r="E38" s="9">
        <f t="shared" si="17"/>
        <v>1.3314385820709696E-2</v>
      </c>
      <c r="F38" s="9">
        <f t="shared" si="18"/>
        <v>1.2504473200821728E-2</v>
      </c>
    </row>
    <row r="39" spans="1:6" x14ac:dyDescent="0.45">
      <c r="A39">
        <v>2007</v>
      </c>
      <c r="B39" s="12">
        <v>2.4220100000000002</v>
      </c>
      <c r="C39" s="12">
        <v>64.342543000000006</v>
      </c>
      <c r="D39">
        <v>1.29967315631257E-2</v>
      </c>
      <c r="E39" s="9">
        <f t="shared" si="17"/>
        <v>1.3908648233258818E-2</v>
      </c>
      <c r="F39" s="9">
        <f t="shared" si="18"/>
        <v>1.3193565035218537E-2</v>
      </c>
    </row>
    <row r="40" spans="1:6" x14ac:dyDescent="0.45">
      <c r="A40">
        <v>2008</v>
      </c>
      <c r="B40" s="12">
        <v>2.3710290000000001</v>
      </c>
      <c r="C40" s="12">
        <v>66.713571999999999</v>
      </c>
      <c r="D40">
        <v>1.35521191117414E-2</v>
      </c>
      <c r="E40" s="9">
        <f t="shared" si="17"/>
        <v>1.4490401988926184E-2</v>
      </c>
      <c r="F40" s="9">
        <f t="shared" si="18"/>
        <v>1.3882424608297202E-2</v>
      </c>
    </row>
    <row r="41" spans="1:6" x14ac:dyDescent="0.45">
      <c r="A41">
        <v>2009</v>
      </c>
      <c r="B41" s="12">
        <v>2.15658199999999</v>
      </c>
      <c r="C41" s="12">
        <v>68.870153999999999</v>
      </c>
      <c r="D41">
        <v>1.42158741930428E-2</v>
      </c>
      <c r="E41" s="9">
        <f t="shared" si="17"/>
        <v>1.5019539202306809E-2</v>
      </c>
      <c r="F41" s="9">
        <f t="shared" si="18"/>
        <v>1.452124318923699E-2</v>
      </c>
    </row>
    <row r="42" spans="1:6" x14ac:dyDescent="0.45">
      <c r="A42">
        <v>2010</v>
      </c>
      <c r="B42" s="12">
        <v>2.2700629999999999</v>
      </c>
      <c r="C42" s="12">
        <v>71.140216999999893</v>
      </c>
      <c r="D42">
        <v>1.48744186331489E-2</v>
      </c>
      <c r="E42" s="9">
        <f t="shared" si="17"/>
        <v>1.5576520021964212E-2</v>
      </c>
      <c r="F42" s="9">
        <f t="shared" si="18"/>
        <v>1.5206297021777858E-2</v>
      </c>
    </row>
    <row r="43" spans="1:6" x14ac:dyDescent="0.45">
      <c r="A43">
        <v>2011</v>
      </c>
      <c r="B43" s="12">
        <v>2.1696819999999999</v>
      </c>
      <c r="C43" s="12">
        <v>73.309898999999902</v>
      </c>
      <c r="D43">
        <v>1.5516898572483701E-2</v>
      </c>
      <c r="E43" s="9">
        <f t="shared" si="17"/>
        <v>1.6108871440738044E-2</v>
      </c>
      <c r="F43" s="9">
        <f t="shared" si="18"/>
        <v>1.5873155899759534E-2</v>
      </c>
    </row>
    <row r="44" spans="1:6" x14ac:dyDescent="0.45">
      <c r="A44">
        <v>2012</v>
      </c>
      <c r="B44" s="12">
        <v>2.0346700000000002</v>
      </c>
      <c r="C44" s="12">
        <v>75.344568999999893</v>
      </c>
      <c r="D44">
        <v>1.6216497107252099E-2</v>
      </c>
      <c r="E44" s="9">
        <f t="shared" si="17"/>
        <v>1.6608096424508261E-2</v>
      </c>
      <c r="F44" s="9">
        <f t="shared" si="18"/>
        <v>1.6509261857286493E-2</v>
      </c>
    </row>
    <row r="45" spans="1:6" x14ac:dyDescent="0.45">
      <c r="A45">
        <v>2013</v>
      </c>
      <c r="B45" s="12">
        <v>2.049312</v>
      </c>
      <c r="C45" s="12">
        <v>77.393880999999993</v>
      </c>
      <c r="D45">
        <v>1.6829748508041802E-2</v>
      </c>
      <c r="E45" s="9">
        <f t="shared" si="17"/>
        <v>1.7110913957543189E-2</v>
      </c>
      <c r="F45" s="9">
        <f t="shared" si="18"/>
        <v>1.7160456370157503E-2</v>
      </c>
    </row>
    <row r="46" spans="1:6" x14ac:dyDescent="0.45">
      <c r="A46">
        <v>2014</v>
      </c>
      <c r="B46" s="12">
        <v>2.0483719999999899</v>
      </c>
      <c r="C46" s="12">
        <v>79.442252999999994</v>
      </c>
      <c r="D46">
        <v>1.76251727388856E-2</v>
      </c>
      <c r="E46" s="9">
        <f t="shared" si="17"/>
        <v>1.7613500852939189E-2</v>
      </c>
      <c r="F46" s="9">
        <f t="shared" si="18"/>
        <v>1.7821893589724327E-2</v>
      </c>
    </row>
    <row r="47" spans="1:6" x14ac:dyDescent="0.45">
      <c r="A47">
        <v>2015</v>
      </c>
      <c r="B47" s="12">
        <v>1.911848</v>
      </c>
      <c r="C47" s="12">
        <v>81.354101</v>
      </c>
      <c r="D47">
        <v>1.83253223971683E-2</v>
      </c>
      <c r="E47" s="9">
        <f t="shared" si="17"/>
        <v>1.8082590330235817E-2</v>
      </c>
      <c r="F47" s="9">
        <f t="shared" si="18"/>
        <v>1.8448754775039416E-2</v>
      </c>
    </row>
    <row r="48" spans="1:6" x14ac:dyDescent="0.45">
      <c r="A48">
        <v>2016</v>
      </c>
      <c r="B48" s="12">
        <v>1.81999499999999</v>
      </c>
      <c r="C48" s="12">
        <v>83.174096000000006</v>
      </c>
      <c r="D48">
        <v>1.8979671786738799E-2</v>
      </c>
      <c r="E48" s="9">
        <f t="shared" si="17"/>
        <v>1.8529142829823902E-2</v>
      </c>
      <c r="F48" s="9">
        <f t="shared" si="18"/>
        <v>1.9054028899223741E-2</v>
      </c>
    </row>
    <row r="49" spans="1:19" x14ac:dyDescent="0.45">
      <c r="A49">
        <v>2017</v>
      </c>
      <c r="B49" s="12">
        <v>1.7426060000000001</v>
      </c>
      <c r="C49" s="12">
        <v>84.916702000000001</v>
      </c>
      <c r="D49">
        <v>1.9637503664102701E-2</v>
      </c>
      <c r="E49" s="9">
        <f t="shared" si="17"/>
        <v>1.895670722703224E-2</v>
      </c>
      <c r="F49" s="9">
        <f t="shared" si="18"/>
        <v>1.9641362652679104E-2</v>
      </c>
    </row>
    <row r="50" spans="1:19" x14ac:dyDescent="0.45">
      <c r="A50">
        <v>2018</v>
      </c>
      <c r="B50" s="12">
        <v>1.764535</v>
      </c>
      <c r="C50" s="12">
        <v>86.681236999999996</v>
      </c>
      <c r="D50">
        <v>2.0296853035334801E-2</v>
      </c>
      <c r="E50" s="9">
        <f t="shared" si="17"/>
        <v>1.9389652105925127E-2</v>
      </c>
      <c r="F50" s="9">
        <f t="shared" si="18"/>
        <v>2.0243859462773725E-2</v>
      </c>
    </row>
    <row r="51" spans="1:19" x14ac:dyDescent="0.45">
      <c r="A51">
        <v>2019</v>
      </c>
      <c r="B51" s="12">
        <v>1.6175599999999899</v>
      </c>
      <c r="C51" s="12">
        <v>88.298796999999993</v>
      </c>
      <c r="D51">
        <v>2.0911648619478002E-2</v>
      </c>
      <c r="E51" s="9">
        <f t="shared" si="17"/>
        <v>1.9786535317820597E-2</v>
      </c>
      <c r="F51" s="9">
        <f t="shared" si="18"/>
        <v>2.0803042606794192E-2</v>
      </c>
    </row>
    <row r="52" spans="1:19" x14ac:dyDescent="0.45">
      <c r="A52">
        <v>2020</v>
      </c>
      <c r="B52" s="12">
        <v>1.45019599999999</v>
      </c>
      <c r="C52" s="12">
        <v>89.748992999999999</v>
      </c>
      <c r="D52">
        <v>2.13617216528348E-2</v>
      </c>
      <c r="E52" s="9">
        <f t="shared" si="17"/>
        <v>2.0142354234187206E-2</v>
      </c>
      <c r="F52" s="9">
        <f t="shared" si="18"/>
        <v>2.1309956033409828E-2</v>
      </c>
    </row>
    <row r="53" spans="1:19" x14ac:dyDescent="0.45">
      <c r="A53">
        <v>2021</v>
      </c>
      <c r="B53" s="12">
        <v>1.5525499999999901</v>
      </c>
      <c r="C53" s="12">
        <v>91.301542999999995</v>
      </c>
      <c r="D53">
        <v>2.2028862860580999E-2</v>
      </c>
      <c r="E53" s="9">
        <f t="shared" si="17"/>
        <v>2.0523286645119914E-2</v>
      </c>
      <c r="F53" s="9">
        <f t="shared" si="18"/>
        <v>2.1858501962337656E-2</v>
      </c>
    </row>
    <row r="54" spans="1:19" x14ac:dyDescent="0.45">
      <c r="A54">
        <v>2022</v>
      </c>
      <c r="B54" s="12">
        <v>1.538519</v>
      </c>
      <c r="C54" s="12">
        <v>92.840061999999904</v>
      </c>
      <c r="D54">
        <v>2.2660877568911001E-2</v>
      </c>
      <c r="E54" s="9">
        <f t="shared" si="17"/>
        <v>2.0900776421253212E-2</v>
      </c>
      <c r="F54" s="9">
        <f t="shared" si="18"/>
        <v>2.2408063057738809E-2</v>
      </c>
    </row>
    <row r="55" spans="1:19" x14ac:dyDescent="0.45">
      <c r="A55">
        <v>2023</v>
      </c>
      <c r="B55" s="12">
        <v>1.420987</v>
      </c>
      <c r="C55" s="12">
        <v>94.2610489999999</v>
      </c>
      <c r="D55">
        <v>2.3382664560874001E-2</v>
      </c>
      <c r="E55" s="9">
        <f t="shared" si="17"/>
        <v>2.1249428641029734E-2</v>
      </c>
      <c r="F55" s="9">
        <f t="shared" si="18"/>
        <v>2.2920923100404691E-2</v>
      </c>
    </row>
    <row r="56" spans="1:19" x14ac:dyDescent="0.45">
      <c r="A56">
        <v>2024</v>
      </c>
      <c r="B56" s="12">
        <v>1.429</v>
      </c>
      <c r="C56" s="12">
        <f>B56+C55</f>
        <v>95.690048999999902</v>
      </c>
      <c r="D56">
        <f>C56*$H$6+$I$6</f>
        <v>2.1600046923998296E-2</v>
      </c>
      <c r="E56" s="9">
        <f t="shared" si="17"/>
        <v>2.1600046923998296E-2</v>
      </c>
      <c r="F56" s="9">
        <f t="shared" si="18"/>
        <v>2.3441789952091934E-2</v>
      </c>
    </row>
    <row r="57" spans="1:19" x14ac:dyDescent="0.45">
      <c r="C57" s="12">
        <v>110</v>
      </c>
      <c r="F57" s="9">
        <f t="shared" si="18"/>
        <v>2.8940586345937581E-2</v>
      </c>
    </row>
    <row r="58" spans="1:19" x14ac:dyDescent="0.45">
      <c r="H58" s="4"/>
      <c r="I58" s="4"/>
      <c r="J58" s="4"/>
      <c r="K58" s="4"/>
      <c r="L58" s="4"/>
      <c r="M58" s="4"/>
      <c r="N58" s="4"/>
      <c r="O58" s="4"/>
      <c r="P58" s="4"/>
      <c r="Q58" s="4"/>
      <c r="S58" s="4"/>
    </row>
  </sheetData>
  <mergeCells count="1">
    <mergeCell ref="C3:D3"/>
  </mergeCells>
  <hyperlinks>
    <hyperlink ref="M11" r:id="rId1" location="eyJhcHBpZCI6MTksInN0ZXBzIjpbMSwyLDMsM10sImRhdGEiOltbImNhdGVnb3JpZXMiLCJTdXJ2ZXkiXSxbIk5JUEFfVGFibGVfTGlzdCIsIjMiXSxbIkZpcnN0X1llYXIiLCIyMDEyIl0sWyJMYXN0X1llYXIiLCIyMDI0Il0sWyJTY2FsZSIsIjAiXSxbIlNlcmllcyIsIkEiXV19" display="https://apps.bea.gov/iTable/?reqid=19&amp;step=2&amp;isuri=1&amp;categories=survey#eyJhcHBpZCI6MTksInN0ZXBzIjpbMSwyLDMsM10sImRhdGEiOltbImNhdGVnb3JpZXMiLCJTdXJ2ZXkiXSxbIk5JUEFfVGFibGVfTGlzdCIsIjMiXSxbIkZpcnN0X1llYXIiLCIyMDEyIl0sWyJMYXN0X1llYXIiLCIyMDI0Il0sWyJTY2FsZSIsIjAiXSxbIlNlcmllcyIsIkEiXV19" xr:uid="{65B56AA6-2889-43EB-ACB4-75B17484AE5A}"/>
  </hyperlinks>
  <pageMargins left="0.7" right="0.7" top="0.75" bottom="0.75" header="0.3" footer="0.3"/>
  <pageSetup orientation="portrait" horizontalDpi="0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2025-09-17T17:13:14Z</dcterms:created>
  <dcterms:modified xsi:type="dcterms:W3CDTF">2025-09-17T17:13:40Z</dcterms:modified>
</cp:coreProperties>
</file>